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sto\Documents\"/>
    </mc:Choice>
  </mc:AlternateContent>
  <bookViews>
    <workbookView xWindow="0" yWindow="0" windowWidth="28800" windowHeight="121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88" i="1" l="1"/>
  <c r="B4288" i="1"/>
  <c r="E4287" i="1"/>
  <c r="B4287" i="1"/>
  <c r="E4286" i="1"/>
  <c r="B4286" i="1"/>
  <c r="E4285" i="1"/>
  <c r="B4285" i="1"/>
  <c r="E4284" i="1"/>
  <c r="B4284" i="1"/>
  <c r="E4283" i="1"/>
  <c r="B4283" i="1"/>
  <c r="E4282" i="1"/>
  <c r="B4282" i="1"/>
  <c r="E4281" i="1"/>
  <c r="B4281" i="1"/>
  <c r="E4280" i="1"/>
  <c r="B4280" i="1"/>
  <c r="E4279" i="1"/>
  <c r="B4279" i="1"/>
  <c r="E4278" i="1"/>
  <c r="B4278" i="1"/>
  <c r="E4277" i="1"/>
  <c r="B4277" i="1"/>
  <c r="E4276" i="1"/>
  <c r="B4276" i="1"/>
  <c r="E4275" i="1"/>
  <c r="B4275" i="1"/>
  <c r="E4274" i="1"/>
  <c r="B4274" i="1"/>
  <c r="E4273" i="1"/>
  <c r="B4273" i="1"/>
  <c r="E4272" i="1"/>
  <c r="B4272" i="1"/>
  <c r="E4271" i="1"/>
  <c r="B4271" i="1"/>
  <c r="E4270" i="1"/>
  <c r="B4270" i="1"/>
  <c r="E4269" i="1"/>
  <c r="B4269" i="1"/>
  <c r="E4268" i="1"/>
  <c r="B4268" i="1"/>
  <c r="E4267" i="1"/>
  <c r="B4267" i="1"/>
  <c r="E4266" i="1"/>
  <c r="B4266" i="1"/>
  <c r="E4265" i="1"/>
  <c r="B4265" i="1"/>
  <c r="E4264" i="1"/>
  <c r="B4264" i="1"/>
  <c r="E4263" i="1"/>
  <c r="B4263" i="1"/>
  <c r="E4262" i="1"/>
  <c r="B4262" i="1"/>
  <c r="E4261" i="1"/>
  <c r="B4261" i="1"/>
  <c r="E4260" i="1"/>
  <c r="B4260" i="1"/>
  <c r="E4259" i="1"/>
  <c r="B4259" i="1"/>
  <c r="E4258" i="1"/>
  <c r="B4258" i="1"/>
  <c r="E4257" i="1"/>
  <c r="B4257" i="1"/>
  <c r="E4256" i="1"/>
  <c r="B4256" i="1"/>
  <c r="E4255" i="1"/>
  <c r="B4255" i="1"/>
  <c r="E4254" i="1"/>
  <c r="B4254" i="1"/>
  <c r="E4253" i="1"/>
  <c r="B4253" i="1"/>
  <c r="E4252" i="1"/>
  <c r="B4252" i="1"/>
  <c r="E4251" i="1"/>
  <c r="B4251" i="1"/>
  <c r="E4250" i="1"/>
  <c r="B4250" i="1"/>
  <c r="E4249" i="1"/>
  <c r="B4249" i="1"/>
  <c r="E4248" i="1"/>
  <c r="B4248" i="1"/>
  <c r="E4247" i="1"/>
  <c r="B4247" i="1"/>
  <c r="E4246" i="1"/>
  <c r="B4246" i="1"/>
  <c r="E4245" i="1"/>
  <c r="B4245" i="1"/>
  <c r="E4244" i="1"/>
  <c r="B4244" i="1"/>
  <c r="E4243" i="1"/>
  <c r="B4243" i="1"/>
  <c r="E4242" i="1"/>
  <c r="B4242" i="1"/>
  <c r="E4241" i="1"/>
  <c r="B4241" i="1"/>
  <c r="E4240" i="1"/>
  <c r="B4240" i="1"/>
  <c r="E4239" i="1"/>
  <c r="B4239" i="1"/>
  <c r="E4238" i="1"/>
  <c r="B4238" i="1"/>
  <c r="E4237" i="1"/>
  <c r="B4237" i="1"/>
  <c r="E4236" i="1"/>
  <c r="B4236" i="1"/>
  <c r="E4235" i="1"/>
  <c r="B4235" i="1"/>
  <c r="E4234" i="1"/>
  <c r="B4234" i="1"/>
  <c r="E4233" i="1"/>
  <c r="B4233" i="1"/>
  <c r="E4232" i="1"/>
  <c r="B4232" i="1"/>
  <c r="E4231" i="1"/>
  <c r="B4231" i="1"/>
  <c r="E4230" i="1"/>
  <c r="B4230" i="1"/>
  <c r="E4229" i="1"/>
  <c r="B4229" i="1"/>
  <c r="E4228" i="1"/>
  <c r="B4228" i="1"/>
  <c r="E4227" i="1"/>
  <c r="B4227" i="1"/>
  <c r="E4226" i="1"/>
  <c r="B4226" i="1"/>
  <c r="E4225" i="1"/>
  <c r="B4225" i="1"/>
  <c r="E4224" i="1"/>
  <c r="B4224" i="1"/>
  <c r="E4223" i="1"/>
  <c r="B4223" i="1"/>
  <c r="E4222" i="1"/>
  <c r="B4222" i="1"/>
  <c r="E4221" i="1"/>
  <c r="B4221" i="1"/>
  <c r="E4220" i="1"/>
  <c r="B4220" i="1"/>
  <c r="E4219" i="1"/>
  <c r="B4219" i="1"/>
  <c r="E4218" i="1"/>
  <c r="B4218" i="1"/>
  <c r="E4217" i="1"/>
  <c r="B4217" i="1"/>
  <c r="E4216" i="1"/>
  <c r="B4216" i="1"/>
  <c r="E4215" i="1"/>
  <c r="B4215" i="1"/>
  <c r="E4214" i="1"/>
  <c r="B4214" i="1"/>
  <c r="E4213" i="1"/>
  <c r="B4213" i="1"/>
  <c r="E4212" i="1"/>
  <c r="B4212" i="1"/>
  <c r="E4211" i="1"/>
  <c r="B4211" i="1"/>
  <c r="E4210" i="1"/>
  <c r="B4210" i="1"/>
  <c r="E4209" i="1"/>
  <c r="B4209" i="1"/>
  <c r="E4208" i="1"/>
  <c r="B4208" i="1"/>
  <c r="E4207" i="1"/>
  <c r="B4207" i="1"/>
  <c r="E4206" i="1"/>
  <c r="B4206" i="1"/>
  <c r="E4205" i="1"/>
  <c r="B4205" i="1"/>
  <c r="E4204" i="1"/>
  <c r="B4204" i="1"/>
  <c r="E4203" i="1"/>
  <c r="B4203" i="1"/>
  <c r="E4202" i="1"/>
  <c r="B4202" i="1"/>
  <c r="E4201" i="1"/>
  <c r="B4201" i="1"/>
  <c r="E4200" i="1"/>
  <c r="B4200" i="1"/>
  <c r="E4199" i="1"/>
  <c r="B4199" i="1"/>
  <c r="E4198" i="1"/>
  <c r="B4198" i="1"/>
  <c r="E4197" i="1"/>
  <c r="B4197" i="1"/>
  <c r="E4196" i="1"/>
  <c r="B4196" i="1"/>
  <c r="E4195" i="1"/>
  <c r="B4195" i="1"/>
  <c r="E4194" i="1"/>
  <c r="B4194" i="1"/>
  <c r="E4193" i="1"/>
  <c r="B4193" i="1"/>
  <c r="E4192" i="1"/>
  <c r="B4192" i="1"/>
  <c r="E4191" i="1"/>
  <c r="B4191" i="1"/>
  <c r="E4190" i="1"/>
  <c r="B4190" i="1"/>
  <c r="E4189" i="1"/>
  <c r="B4189" i="1"/>
  <c r="E4188" i="1"/>
  <c r="B4188" i="1"/>
  <c r="E4187" i="1"/>
  <c r="B4187" i="1"/>
  <c r="E4186" i="1"/>
  <c r="B4186" i="1"/>
  <c r="E4185" i="1"/>
  <c r="B4185" i="1"/>
  <c r="E4184" i="1"/>
  <c r="B4184" i="1"/>
  <c r="E4183" i="1"/>
  <c r="B4183" i="1"/>
  <c r="E4182" i="1"/>
  <c r="B4182" i="1"/>
  <c r="E4181" i="1"/>
  <c r="B4181" i="1"/>
  <c r="E4180" i="1"/>
  <c r="B4180" i="1"/>
  <c r="E4179" i="1"/>
  <c r="B4179" i="1"/>
  <c r="E4178" i="1"/>
  <c r="B4178" i="1"/>
  <c r="E4177" i="1"/>
  <c r="B4177" i="1"/>
  <c r="E4176" i="1"/>
  <c r="B4176" i="1"/>
  <c r="E4175" i="1"/>
  <c r="B4175" i="1"/>
  <c r="E4174" i="1"/>
  <c r="B4174" i="1"/>
  <c r="E4173" i="1"/>
  <c r="B4173" i="1"/>
  <c r="E4172" i="1"/>
  <c r="B4172" i="1"/>
  <c r="E4171" i="1"/>
  <c r="B4171" i="1"/>
  <c r="E4170" i="1"/>
  <c r="B4170" i="1"/>
  <c r="E4169" i="1"/>
  <c r="B4169" i="1"/>
  <c r="E4168" i="1"/>
  <c r="B4168" i="1"/>
  <c r="E4167" i="1"/>
  <c r="B4167" i="1"/>
  <c r="E4166" i="1"/>
  <c r="B4166" i="1"/>
  <c r="E4165" i="1"/>
  <c r="B4165" i="1"/>
  <c r="E4164" i="1"/>
  <c r="B4164" i="1"/>
  <c r="E4163" i="1"/>
  <c r="B4163" i="1"/>
  <c r="E4162" i="1"/>
  <c r="B4162" i="1"/>
  <c r="E4161" i="1"/>
  <c r="B4161" i="1"/>
  <c r="E4160" i="1"/>
  <c r="B4160" i="1"/>
  <c r="E4159" i="1"/>
  <c r="B4159" i="1"/>
  <c r="E4158" i="1"/>
  <c r="B4158" i="1"/>
  <c r="E4157" i="1"/>
  <c r="B4157" i="1"/>
  <c r="E4156" i="1"/>
  <c r="B4156" i="1"/>
  <c r="E4155" i="1"/>
  <c r="B4155" i="1"/>
  <c r="E4154" i="1"/>
  <c r="B4154" i="1"/>
  <c r="E4153" i="1"/>
  <c r="B4153" i="1"/>
  <c r="E4152" i="1"/>
  <c r="B4152" i="1"/>
  <c r="E4151" i="1"/>
  <c r="B4151" i="1"/>
  <c r="E4150" i="1"/>
  <c r="B4150" i="1"/>
  <c r="E4149" i="1"/>
  <c r="B4149" i="1"/>
  <c r="E4148" i="1"/>
  <c r="B4148" i="1"/>
  <c r="E4147" i="1"/>
  <c r="B4147" i="1"/>
  <c r="E4146" i="1"/>
  <c r="B4146" i="1"/>
  <c r="E4145" i="1"/>
  <c r="B4145" i="1"/>
  <c r="E4144" i="1"/>
  <c r="B4144" i="1"/>
  <c r="E4143" i="1"/>
  <c r="B4143" i="1"/>
  <c r="E4142" i="1"/>
  <c r="B4142" i="1"/>
  <c r="E4141" i="1"/>
  <c r="B4141" i="1"/>
  <c r="E4140" i="1"/>
  <c r="B4140" i="1"/>
  <c r="E4139" i="1"/>
  <c r="B4139" i="1"/>
  <c r="E4138" i="1"/>
  <c r="B4138" i="1"/>
  <c r="E4137" i="1"/>
  <c r="B4137" i="1"/>
  <c r="E4136" i="1"/>
  <c r="B4136" i="1"/>
  <c r="E4135" i="1"/>
  <c r="B4135" i="1"/>
  <c r="E4134" i="1"/>
  <c r="B4134" i="1"/>
  <c r="E4133" i="1"/>
  <c r="B4133" i="1"/>
  <c r="E4132" i="1"/>
  <c r="B4132" i="1"/>
  <c r="E4131" i="1"/>
  <c r="B4131" i="1"/>
  <c r="E4130" i="1"/>
  <c r="B4130" i="1"/>
  <c r="E4129" i="1"/>
  <c r="B4129" i="1"/>
  <c r="E4128" i="1"/>
  <c r="B4128" i="1"/>
  <c r="E4127" i="1"/>
  <c r="B4127" i="1"/>
  <c r="E4126" i="1"/>
  <c r="B4126" i="1"/>
  <c r="E4125" i="1"/>
  <c r="B4125" i="1"/>
  <c r="E4124" i="1"/>
  <c r="B4124" i="1"/>
  <c r="E4123" i="1"/>
  <c r="B4123" i="1"/>
  <c r="E4122" i="1"/>
  <c r="B4122" i="1"/>
  <c r="E4121" i="1"/>
  <c r="B4121" i="1"/>
  <c r="E4120" i="1"/>
  <c r="B4120" i="1"/>
  <c r="E4119" i="1"/>
  <c r="B4119" i="1"/>
  <c r="E4118" i="1"/>
  <c r="B4118" i="1"/>
  <c r="E4117" i="1"/>
  <c r="B4117" i="1"/>
  <c r="E4116" i="1"/>
  <c r="B4116" i="1"/>
  <c r="E4115" i="1"/>
  <c r="B4115" i="1"/>
  <c r="E4114" i="1"/>
  <c r="B4114" i="1"/>
  <c r="E4113" i="1"/>
  <c r="B4113" i="1"/>
  <c r="E4112" i="1"/>
  <c r="B4112" i="1"/>
  <c r="E4111" i="1"/>
  <c r="B4111" i="1"/>
  <c r="E4110" i="1"/>
  <c r="B4110" i="1"/>
  <c r="E4109" i="1"/>
  <c r="B4109" i="1"/>
  <c r="E4108" i="1"/>
  <c r="B4108" i="1"/>
  <c r="E4107" i="1"/>
  <c r="B4107" i="1"/>
  <c r="E4106" i="1"/>
  <c r="B4106" i="1"/>
  <c r="E4105" i="1"/>
  <c r="B4105" i="1"/>
  <c r="E4104" i="1"/>
  <c r="B4104" i="1"/>
  <c r="E4103" i="1"/>
  <c r="B4103" i="1"/>
  <c r="E4102" i="1"/>
  <c r="B4102" i="1"/>
  <c r="E4101" i="1"/>
  <c r="B4101" i="1"/>
  <c r="E4100" i="1"/>
  <c r="B4100" i="1"/>
  <c r="E4099" i="1"/>
  <c r="B4099" i="1"/>
  <c r="E4098" i="1"/>
  <c r="B4098" i="1"/>
  <c r="E4097" i="1"/>
  <c r="B4097" i="1"/>
  <c r="E4096" i="1"/>
  <c r="B4096" i="1"/>
  <c r="E4095" i="1"/>
  <c r="B4095" i="1"/>
  <c r="E4094" i="1"/>
  <c r="B4094" i="1"/>
  <c r="E4093" i="1"/>
  <c r="B4093" i="1"/>
  <c r="E4092" i="1"/>
  <c r="B4092" i="1"/>
  <c r="E4091" i="1"/>
  <c r="B4091" i="1"/>
  <c r="E4090" i="1"/>
  <c r="B4090" i="1"/>
  <c r="E4089" i="1"/>
  <c r="B4089" i="1"/>
  <c r="E4088" i="1"/>
  <c r="B4088" i="1"/>
  <c r="E4087" i="1"/>
  <c r="B4087" i="1"/>
  <c r="E4086" i="1"/>
  <c r="B4086" i="1"/>
  <c r="E4085" i="1"/>
  <c r="B4085" i="1"/>
  <c r="E4084" i="1"/>
  <c r="B4084" i="1"/>
  <c r="E4083" i="1"/>
  <c r="B4083" i="1"/>
  <c r="E4082" i="1"/>
  <c r="B4082" i="1"/>
  <c r="E4081" i="1"/>
  <c r="B4081" i="1"/>
  <c r="E4080" i="1"/>
  <c r="B4080" i="1"/>
  <c r="E4079" i="1"/>
  <c r="B4079" i="1"/>
  <c r="E4078" i="1"/>
  <c r="B4078" i="1"/>
  <c r="E4077" i="1"/>
  <c r="B4077" i="1"/>
  <c r="E4076" i="1"/>
  <c r="B4076" i="1"/>
  <c r="E4075" i="1"/>
  <c r="B4075" i="1"/>
  <c r="E4074" i="1"/>
  <c r="B4074" i="1"/>
  <c r="E4073" i="1"/>
  <c r="B4073" i="1"/>
  <c r="E4072" i="1"/>
  <c r="B4072" i="1"/>
  <c r="E4071" i="1"/>
  <c r="B4071" i="1"/>
  <c r="E4070" i="1"/>
  <c r="B4070" i="1"/>
  <c r="E4069" i="1"/>
  <c r="B4069" i="1"/>
  <c r="E4068" i="1"/>
  <c r="B4068" i="1"/>
  <c r="E4067" i="1"/>
  <c r="B4067" i="1"/>
  <c r="E4066" i="1"/>
  <c r="B4066" i="1"/>
  <c r="E4065" i="1"/>
  <c r="B4065" i="1"/>
  <c r="E4064" i="1"/>
  <c r="B4064" i="1"/>
  <c r="E4063" i="1"/>
  <c r="B4063" i="1"/>
  <c r="E4062" i="1"/>
  <c r="B4062" i="1"/>
  <c r="E4061" i="1"/>
  <c r="B4061" i="1"/>
  <c r="E4060" i="1"/>
  <c r="B4060" i="1"/>
  <c r="E4059" i="1"/>
  <c r="B4059" i="1"/>
  <c r="E4058" i="1"/>
  <c r="B4058" i="1"/>
  <c r="E4057" i="1"/>
  <c r="B4057" i="1"/>
  <c r="E4056" i="1"/>
  <c r="B4056" i="1"/>
  <c r="E4055" i="1"/>
  <c r="B4055" i="1"/>
  <c r="E4054" i="1"/>
  <c r="B4054" i="1"/>
  <c r="E4053" i="1"/>
  <c r="B4053" i="1"/>
  <c r="E4052" i="1"/>
  <c r="B4052" i="1"/>
  <c r="E4051" i="1"/>
  <c r="B4051" i="1"/>
  <c r="E4050" i="1"/>
  <c r="B4050" i="1"/>
  <c r="E4049" i="1"/>
  <c r="B4049" i="1"/>
  <c r="E4048" i="1"/>
  <c r="B4048" i="1"/>
  <c r="E4047" i="1"/>
  <c r="B4047" i="1"/>
  <c r="E4046" i="1"/>
  <c r="B4046" i="1"/>
  <c r="E4045" i="1"/>
  <c r="B4045" i="1"/>
  <c r="E4044" i="1"/>
  <c r="B4044" i="1"/>
  <c r="E4043" i="1"/>
  <c r="B4043" i="1"/>
  <c r="E4042" i="1"/>
  <c r="B4042" i="1"/>
  <c r="E4041" i="1"/>
  <c r="B4041" i="1"/>
  <c r="E4040" i="1"/>
  <c r="B4040" i="1"/>
  <c r="E4039" i="1"/>
  <c r="B4039" i="1"/>
  <c r="E4038" i="1"/>
  <c r="B4038" i="1"/>
  <c r="E4037" i="1"/>
  <c r="B4037" i="1"/>
  <c r="E4036" i="1"/>
  <c r="B4036" i="1"/>
  <c r="E4035" i="1"/>
  <c r="B4035" i="1"/>
  <c r="E4034" i="1"/>
  <c r="B4034" i="1"/>
  <c r="E4033" i="1"/>
  <c r="B4033" i="1"/>
  <c r="E4032" i="1"/>
  <c r="B4032" i="1"/>
  <c r="E4031" i="1"/>
  <c r="B4031" i="1"/>
  <c r="E4030" i="1"/>
  <c r="B4030" i="1"/>
  <c r="E4029" i="1"/>
  <c r="B4029" i="1"/>
  <c r="E4028" i="1"/>
  <c r="B4028" i="1"/>
  <c r="E4027" i="1"/>
  <c r="B4027" i="1"/>
  <c r="E4026" i="1"/>
  <c r="B4026" i="1"/>
  <c r="E4025" i="1"/>
  <c r="B4025" i="1"/>
  <c r="E4024" i="1"/>
  <c r="B4024" i="1"/>
  <c r="E4023" i="1"/>
  <c r="B4023" i="1"/>
  <c r="E4022" i="1"/>
  <c r="B4022" i="1"/>
  <c r="E4021" i="1"/>
  <c r="B4021" i="1"/>
  <c r="E4020" i="1"/>
  <c r="B4020" i="1"/>
  <c r="E4019" i="1"/>
  <c r="B4019" i="1"/>
  <c r="E4018" i="1"/>
  <c r="B4018" i="1"/>
  <c r="E4017" i="1"/>
  <c r="B4017" i="1"/>
  <c r="E4016" i="1"/>
  <c r="B4016" i="1"/>
  <c r="E4015" i="1"/>
  <c r="B4015" i="1"/>
  <c r="E4014" i="1"/>
  <c r="B4014" i="1"/>
  <c r="E4013" i="1"/>
  <c r="B4013" i="1"/>
  <c r="E4012" i="1"/>
  <c r="B4012" i="1"/>
  <c r="E4011" i="1"/>
  <c r="B4011" i="1"/>
  <c r="E4010" i="1"/>
  <c r="B4010" i="1"/>
  <c r="E4009" i="1"/>
  <c r="B4009" i="1"/>
  <c r="E4008" i="1"/>
  <c r="B4008" i="1"/>
  <c r="E4007" i="1"/>
  <c r="B4007" i="1"/>
  <c r="E4006" i="1"/>
  <c r="B4006" i="1"/>
  <c r="E4005" i="1"/>
  <c r="B4005" i="1"/>
  <c r="E4004" i="1"/>
  <c r="B4004" i="1"/>
  <c r="E4003" i="1"/>
  <c r="B4003" i="1"/>
  <c r="E4002" i="1"/>
  <c r="B4002" i="1"/>
  <c r="E4001" i="1"/>
  <c r="B4001" i="1"/>
  <c r="E4000" i="1"/>
  <c r="B4000" i="1"/>
  <c r="E3999" i="1"/>
  <c r="B3999" i="1"/>
  <c r="E3998" i="1"/>
  <c r="B3998" i="1"/>
  <c r="E3997" i="1"/>
  <c r="B3997" i="1"/>
  <c r="E3996" i="1"/>
  <c r="B3996" i="1"/>
  <c r="E3995" i="1"/>
  <c r="B3995" i="1"/>
  <c r="E3994" i="1"/>
  <c r="B3994" i="1"/>
  <c r="E3993" i="1"/>
  <c r="B3993" i="1"/>
  <c r="E3992" i="1"/>
  <c r="B3992" i="1"/>
  <c r="E3991" i="1"/>
  <c r="B3991" i="1"/>
  <c r="E3990" i="1"/>
  <c r="B3990" i="1"/>
  <c r="E3989" i="1"/>
  <c r="B3989" i="1"/>
  <c r="E3988" i="1"/>
  <c r="B3988" i="1"/>
  <c r="E3987" i="1"/>
  <c r="B3987" i="1"/>
  <c r="E3986" i="1"/>
  <c r="B3986" i="1"/>
  <c r="E3985" i="1"/>
  <c r="B3985" i="1"/>
  <c r="E3984" i="1"/>
  <c r="B3984" i="1"/>
  <c r="E3983" i="1"/>
  <c r="B3983" i="1"/>
  <c r="E3982" i="1"/>
  <c r="B3982" i="1"/>
  <c r="E3981" i="1"/>
  <c r="B3981" i="1"/>
  <c r="E3980" i="1"/>
  <c r="B3980" i="1"/>
  <c r="E3979" i="1"/>
  <c r="B3979" i="1"/>
  <c r="E3978" i="1"/>
  <c r="B3978" i="1"/>
  <c r="E3977" i="1"/>
  <c r="B3977" i="1"/>
  <c r="E3976" i="1"/>
  <c r="B3976" i="1"/>
  <c r="E3975" i="1"/>
  <c r="B3975" i="1"/>
  <c r="E3974" i="1"/>
  <c r="B3974" i="1"/>
  <c r="E3973" i="1"/>
  <c r="B3973" i="1"/>
  <c r="E3972" i="1"/>
  <c r="B3972" i="1"/>
  <c r="E3971" i="1"/>
  <c r="B3971" i="1"/>
  <c r="E3970" i="1"/>
  <c r="B3970" i="1"/>
  <c r="E3969" i="1"/>
  <c r="B3969" i="1"/>
  <c r="E3968" i="1"/>
  <c r="B3968" i="1"/>
  <c r="E3967" i="1"/>
  <c r="B3967" i="1"/>
  <c r="E3966" i="1"/>
  <c r="B3966" i="1"/>
  <c r="E3965" i="1"/>
  <c r="B3965" i="1"/>
  <c r="E3964" i="1"/>
  <c r="B3964" i="1"/>
  <c r="E3963" i="1"/>
  <c r="B3963" i="1"/>
  <c r="E3962" i="1"/>
  <c r="B3962" i="1"/>
  <c r="E3961" i="1"/>
  <c r="B3961" i="1"/>
  <c r="E3960" i="1"/>
  <c r="B3960" i="1"/>
  <c r="E3959" i="1"/>
  <c r="B3959" i="1"/>
  <c r="E3958" i="1"/>
  <c r="B3958" i="1"/>
  <c r="E3957" i="1"/>
  <c r="B3957" i="1"/>
  <c r="E3956" i="1"/>
  <c r="B3956" i="1"/>
  <c r="E3955" i="1"/>
  <c r="B3955" i="1"/>
  <c r="E3954" i="1"/>
  <c r="B3954" i="1"/>
  <c r="E3953" i="1"/>
  <c r="B3953" i="1"/>
  <c r="E3952" i="1"/>
  <c r="B3952" i="1"/>
  <c r="E3951" i="1"/>
  <c r="B3951" i="1"/>
  <c r="E3950" i="1"/>
  <c r="B3950" i="1"/>
  <c r="E3949" i="1"/>
  <c r="B3949" i="1"/>
  <c r="E3948" i="1"/>
  <c r="B3948" i="1"/>
  <c r="E3947" i="1"/>
  <c r="B3947" i="1"/>
  <c r="E3946" i="1"/>
  <c r="B3946" i="1"/>
  <c r="E3945" i="1"/>
  <c r="B3945" i="1"/>
  <c r="E3944" i="1"/>
  <c r="B3944" i="1"/>
  <c r="E3943" i="1"/>
  <c r="B3943" i="1"/>
  <c r="E3942" i="1"/>
  <c r="B3942" i="1"/>
  <c r="E3941" i="1"/>
  <c r="B3941" i="1"/>
  <c r="E3940" i="1"/>
  <c r="B3940" i="1"/>
  <c r="E3939" i="1"/>
  <c r="B3939" i="1"/>
  <c r="E3938" i="1"/>
  <c r="B3938" i="1"/>
  <c r="E3937" i="1"/>
  <c r="B3937" i="1"/>
  <c r="E3936" i="1"/>
  <c r="B3936" i="1"/>
  <c r="E3935" i="1"/>
  <c r="B3935" i="1"/>
  <c r="E3934" i="1"/>
  <c r="B3934" i="1"/>
  <c r="E3933" i="1"/>
  <c r="B3933" i="1"/>
  <c r="E3932" i="1"/>
  <c r="B3932" i="1"/>
  <c r="E3931" i="1"/>
  <c r="B3931" i="1"/>
  <c r="E3930" i="1"/>
  <c r="B3930" i="1"/>
  <c r="E3929" i="1"/>
  <c r="B3929" i="1"/>
  <c r="E3928" i="1"/>
  <c r="B3928" i="1"/>
  <c r="E3927" i="1"/>
  <c r="B3927" i="1"/>
  <c r="E3926" i="1"/>
  <c r="B3926" i="1"/>
  <c r="E3925" i="1"/>
  <c r="B3925" i="1"/>
  <c r="E3924" i="1"/>
  <c r="B3924" i="1"/>
  <c r="E3923" i="1"/>
  <c r="B3923" i="1"/>
  <c r="E3922" i="1"/>
  <c r="B3922" i="1"/>
  <c r="E3921" i="1"/>
  <c r="B3921" i="1"/>
  <c r="E3920" i="1"/>
  <c r="B3920" i="1"/>
  <c r="E3919" i="1"/>
  <c r="B3919" i="1"/>
  <c r="E3918" i="1"/>
  <c r="B3918" i="1"/>
  <c r="E3917" i="1"/>
  <c r="B3917" i="1"/>
  <c r="E3916" i="1"/>
  <c r="B3916" i="1"/>
  <c r="E3915" i="1"/>
  <c r="B3915" i="1"/>
  <c r="E3914" i="1"/>
  <c r="B3914" i="1"/>
  <c r="E3913" i="1"/>
  <c r="B3913" i="1"/>
  <c r="E3912" i="1"/>
  <c r="B3912" i="1"/>
  <c r="E3911" i="1"/>
  <c r="B3911" i="1"/>
  <c r="E3910" i="1"/>
  <c r="B3910" i="1"/>
  <c r="E3909" i="1"/>
  <c r="B3909" i="1"/>
  <c r="E3908" i="1"/>
  <c r="B3908" i="1"/>
  <c r="E3907" i="1"/>
  <c r="B3907" i="1"/>
  <c r="E3906" i="1"/>
  <c r="B3906" i="1"/>
  <c r="E3905" i="1"/>
  <c r="B3905" i="1"/>
  <c r="E3904" i="1"/>
  <c r="B3904" i="1"/>
  <c r="E3903" i="1"/>
  <c r="B3903" i="1"/>
  <c r="E3902" i="1"/>
  <c r="B3902" i="1"/>
  <c r="E3901" i="1"/>
  <c r="B3901" i="1"/>
  <c r="E3900" i="1"/>
  <c r="B3900" i="1"/>
  <c r="E3899" i="1"/>
  <c r="B3899" i="1"/>
  <c r="E3898" i="1"/>
  <c r="B3898" i="1"/>
  <c r="E3897" i="1"/>
  <c r="B3897" i="1"/>
  <c r="E3896" i="1"/>
  <c r="B3896" i="1"/>
  <c r="E3895" i="1"/>
  <c r="B3895" i="1"/>
  <c r="E3894" i="1"/>
  <c r="B3894" i="1"/>
  <c r="E3893" i="1"/>
  <c r="B3893" i="1"/>
  <c r="E3892" i="1"/>
  <c r="B3892" i="1"/>
  <c r="E3891" i="1"/>
  <c r="B3891" i="1"/>
  <c r="E3890" i="1"/>
  <c r="B3890" i="1"/>
  <c r="E3889" i="1"/>
  <c r="B3889" i="1"/>
  <c r="E3888" i="1"/>
  <c r="B3888" i="1"/>
  <c r="E3887" i="1"/>
  <c r="B3887" i="1"/>
  <c r="E3886" i="1"/>
  <c r="B3886" i="1"/>
  <c r="E3885" i="1"/>
  <c r="B3885" i="1"/>
  <c r="E3884" i="1"/>
  <c r="B3884" i="1"/>
  <c r="E3883" i="1"/>
  <c r="B3883" i="1"/>
  <c r="E3882" i="1"/>
  <c r="B3882" i="1"/>
  <c r="E3881" i="1"/>
  <c r="B3881" i="1"/>
  <c r="E3880" i="1"/>
  <c r="B3880" i="1"/>
  <c r="E3879" i="1"/>
  <c r="B3879" i="1"/>
  <c r="E3878" i="1"/>
  <c r="B3878" i="1"/>
  <c r="E3877" i="1"/>
  <c r="B3877" i="1"/>
  <c r="E3876" i="1"/>
  <c r="B3876" i="1"/>
  <c r="E3875" i="1"/>
  <c r="B3875" i="1"/>
  <c r="E3874" i="1"/>
  <c r="B3874" i="1"/>
  <c r="E3873" i="1"/>
  <c r="B3873" i="1"/>
  <c r="E3872" i="1"/>
  <c r="B3872" i="1"/>
  <c r="E3871" i="1"/>
  <c r="B3871" i="1"/>
  <c r="E3870" i="1"/>
  <c r="B3870" i="1"/>
  <c r="E3869" i="1"/>
  <c r="B3869" i="1"/>
  <c r="E3868" i="1"/>
  <c r="B3868" i="1"/>
  <c r="E3867" i="1"/>
  <c r="B3867" i="1"/>
  <c r="E3866" i="1"/>
  <c r="B3866" i="1"/>
  <c r="E3865" i="1"/>
  <c r="B3865" i="1"/>
  <c r="E3864" i="1"/>
  <c r="B3864" i="1"/>
  <c r="E3863" i="1"/>
  <c r="B3863" i="1"/>
  <c r="E3862" i="1"/>
  <c r="B3862" i="1"/>
  <c r="E3861" i="1"/>
  <c r="B3861" i="1"/>
  <c r="E3860" i="1"/>
  <c r="B3860" i="1"/>
  <c r="E3859" i="1"/>
  <c r="B3859" i="1"/>
  <c r="E3858" i="1"/>
  <c r="B3858" i="1"/>
  <c r="E3857" i="1"/>
  <c r="B3857" i="1"/>
  <c r="E3856" i="1"/>
  <c r="B3856" i="1"/>
  <c r="E3855" i="1"/>
  <c r="B3855" i="1"/>
  <c r="E3854" i="1"/>
  <c r="B3854" i="1"/>
  <c r="E3853" i="1"/>
  <c r="B3853" i="1"/>
  <c r="E3852" i="1"/>
  <c r="B3852" i="1"/>
  <c r="E3851" i="1"/>
  <c r="B3851" i="1"/>
  <c r="E3850" i="1"/>
  <c r="B3850" i="1"/>
  <c r="E3849" i="1"/>
  <c r="B3849" i="1"/>
  <c r="E3848" i="1"/>
  <c r="B3848" i="1"/>
  <c r="E3847" i="1"/>
  <c r="B3847" i="1"/>
  <c r="E3846" i="1"/>
  <c r="B3846" i="1"/>
  <c r="E3845" i="1"/>
  <c r="B3845" i="1"/>
  <c r="E3844" i="1"/>
  <c r="B3844" i="1"/>
  <c r="E3843" i="1"/>
  <c r="B3843" i="1"/>
  <c r="E3842" i="1"/>
  <c r="B3842" i="1"/>
  <c r="E3841" i="1"/>
  <c r="B3841" i="1"/>
  <c r="E3840" i="1"/>
  <c r="B3840" i="1"/>
  <c r="E3839" i="1"/>
  <c r="B3839" i="1"/>
  <c r="E3838" i="1"/>
  <c r="B3838" i="1"/>
  <c r="E3837" i="1"/>
  <c r="B3837" i="1"/>
  <c r="E3836" i="1"/>
  <c r="B3836" i="1"/>
  <c r="E3835" i="1"/>
  <c r="B3835" i="1"/>
  <c r="E3834" i="1"/>
  <c r="B3834" i="1"/>
  <c r="E3833" i="1"/>
  <c r="B3833" i="1"/>
  <c r="E3832" i="1"/>
  <c r="B3832" i="1"/>
  <c r="E3831" i="1"/>
  <c r="B3831" i="1"/>
  <c r="E3830" i="1"/>
  <c r="B3830" i="1"/>
  <c r="E3829" i="1"/>
  <c r="B3829" i="1"/>
  <c r="E3828" i="1"/>
  <c r="B3828" i="1"/>
  <c r="E3827" i="1"/>
  <c r="B3827" i="1"/>
  <c r="E3826" i="1"/>
  <c r="B3826" i="1"/>
  <c r="E3825" i="1"/>
  <c r="B3825" i="1"/>
  <c r="E3824" i="1"/>
  <c r="B3824" i="1"/>
  <c r="E3823" i="1"/>
  <c r="B3823" i="1"/>
  <c r="E3822" i="1"/>
  <c r="B3822" i="1"/>
  <c r="E3821" i="1"/>
  <c r="B3821" i="1"/>
  <c r="E3820" i="1"/>
  <c r="B3820" i="1"/>
  <c r="E3819" i="1"/>
  <c r="B3819" i="1"/>
  <c r="E3818" i="1"/>
  <c r="B3818" i="1"/>
  <c r="E3817" i="1"/>
  <c r="B3817" i="1"/>
  <c r="E3816" i="1"/>
  <c r="B3816" i="1"/>
  <c r="E3815" i="1"/>
  <c r="B3815" i="1"/>
  <c r="E3814" i="1"/>
  <c r="B3814" i="1"/>
  <c r="E3813" i="1"/>
  <c r="B3813" i="1"/>
  <c r="E3812" i="1"/>
  <c r="B3812" i="1"/>
  <c r="E3811" i="1"/>
  <c r="B3811" i="1"/>
  <c r="E3810" i="1"/>
  <c r="B3810" i="1"/>
  <c r="E3809" i="1"/>
  <c r="B3809" i="1"/>
  <c r="E3808" i="1"/>
  <c r="B3808" i="1"/>
  <c r="E3807" i="1"/>
  <c r="B3807" i="1"/>
  <c r="E3806" i="1"/>
  <c r="B3806" i="1"/>
  <c r="E3805" i="1"/>
  <c r="B3805" i="1"/>
  <c r="E3804" i="1"/>
  <c r="B3804" i="1"/>
  <c r="E3803" i="1"/>
  <c r="B3803" i="1"/>
  <c r="E3802" i="1"/>
  <c r="B3802" i="1"/>
  <c r="E3801" i="1"/>
  <c r="B3801" i="1"/>
  <c r="E3800" i="1"/>
  <c r="B3800" i="1"/>
  <c r="E3799" i="1"/>
  <c r="B3799" i="1"/>
  <c r="E3798" i="1"/>
  <c r="B3798" i="1"/>
  <c r="E3797" i="1"/>
  <c r="B3797" i="1"/>
  <c r="E3796" i="1"/>
  <c r="B3796" i="1"/>
  <c r="E3795" i="1"/>
  <c r="B3795" i="1"/>
  <c r="E3794" i="1"/>
  <c r="B3794" i="1"/>
  <c r="E3793" i="1"/>
  <c r="B3793" i="1"/>
  <c r="E3792" i="1"/>
  <c r="B3792" i="1"/>
  <c r="E3791" i="1"/>
  <c r="B3791" i="1"/>
  <c r="E3790" i="1"/>
  <c r="B3790" i="1"/>
  <c r="E3789" i="1"/>
  <c r="B3789" i="1"/>
  <c r="E3788" i="1"/>
  <c r="B3788" i="1"/>
  <c r="E3787" i="1"/>
  <c r="B3787" i="1"/>
  <c r="E3786" i="1"/>
  <c r="B3786" i="1"/>
  <c r="E3785" i="1"/>
  <c r="B3785" i="1"/>
  <c r="E3784" i="1"/>
  <c r="B3784" i="1"/>
  <c r="E3783" i="1"/>
  <c r="B3783" i="1"/>
  <c r="E3782" i="1"/>
  <c r="B3782" i="1"/>
  <c r="E3781" i="1"/>
  <c r="B3781" i="1"/>
  <c r="E3780" i="1"/>
  <c r="B3780" i="1"/>
  <c r="E3779" i="1"/>
  <c r="B3779" i="1"/>
  <c r="E3778" i="1"/>
  <c r="B3778" i="1"/>
  <c r="E3777" i="1"/>
  <c r="B3777" i="1"/>
  <c r="E3776" i="1"/>
  <c r="B3776" i="1"/>
  <c r="E3775" i="1"/>
  <c r="B3775" i="1"/>
  <c r="E3774" i="1"/>
  <c r="B3774" i="1"/>
  <c r="E3773" i="1"/>
  <c r="B3773" i="1"/>
  <c r="E3772" i="1"/>
  <c r="B3772" i="1"/>
  <c r="E3771" i="1"/>
  <c r="B3771" i="1"/>
  <c r="E3770" i="1"/>
  <c r="B3770" i="1"/>
  <c r="E3769" i="1"/>
  <c r="B3769" i="1"/>
  <c r="E3768" i="1"/>
  <c r="B3768" i="1"/>
  <c r="E3767" i="1"/>
  <c r="B3767" i="1"/>
  <c r="E3766" i="1"/>
  <c r="B3766" i="1"/>
  <c r="E3765" i="1"/>
  <c r="B3765" i="1"/>
  <c r="E3764" i="1"/>
  <c r="B3764" i="1"/>
  <c r="E3763" i="1"/>
  <c r="B3763" i="1"/>
  <c r="E3762" i="1"/>
  <c r="B3762" i="1"/>
  <c r="E3761" i="1"/>
  <c r="B3761" i="1"/>
  <c r="E3760" i="1"/>
  <c r="B3760" i="1"/>
  <c r="E3759" i="1"/>
  <c r="B3759" i="1"/>
  <c r="E3758" i="1"/>
  <c r="B3758" i="1"/>
  <c r="E3757" i="1"/>
  <c r="B3757" i="1"/>
  <c r="E3756" i="1"/>
  <c r="B3756" i="1"/>
  <c r="E3755" i="1"/>
  <c r="B3755" i="1"/>
  <c r="E3754" i="1"/>
  <c r="B3754" i="1"/>
  <c r="E3753" i="1"/>
  <c r="B3753" i="1"/>
  <c r="E3752" i="1"/>
  <c r="B3752" i="1"/>
  <c r="E3751" i="1"/>
  <c r="B3751" i="1"/>
  <c r="E3750" i="1"/>
  <c r="B3750" i="1"/>
  <c r="E3749" i="1"/>
  <c r="B3749" i="1"/>
  <c r="E3748" i="1"/>
  <c r="B3748" i="1"/>
  <c r="E3747" i="1"/>
  <c r="B3747" i="1"/>
  <c r="E3746" i="1"/>
  <c r="B3746" i="1"/>
  <c r="E3745" i="1"/>
  <c r="B3745" i="1"/>
  <c r="E3744" i="1"/>
  <c r="B3744" i="1"/>
  <c r="E3743" i="1"/>
  <c r="B3743" i="1"/>
  <c r="E3742" i="1"/>
  <c r="B3742" i="1"/>
  <c r="E3741" i="1"/>
  <c r="B3741" i="1"/>
  <c r="E3740" i="1"/>
  <c r="B3740" i="1"/>
  <c r="E3739" i="1"/>
  <c r="B3739" i="1"/>
  <c r="E3738" i="1"/>
  <c r="B3738" i="1"/>
  <c r="E3737" i="1"/>
  <c r="B3737" i="1"/>
  <c r="E3736" i="1"/>
  <c r="B3736" i="1"/>
  <c r="E3735" i="1"/>
  <c r="B3735" i="1"/>
  <c r="E3734" i="1"/>
  <c r="B3734" i="1"/>
  <c r="E3733" i="1"/>
  <c r="B3733" i="1"/>
  <c r="E3732" i="1"/>
  <c r="B3732" i="1"/>
  <c r="E3731" i="1"/>
  <c r="B3731" i="1"/>
  <c r="E3730" i="1"/>
  <c r="B3730" i="1"/>
  <c r="E3729" i="1"/>
  <c r="B3729" i="1"/>
  <c r="E3728" i="1"/>
  <c r="B3728" i="1"/>
  <c r="E3727" i="1"/>
  <c r="B3727" i="1"/>
  <c r="E3726" i="1"/>
  <c r="B3726" i="1"/>
  <c r="E3725" i="1"/>
  <c r="B3725" i="1"/>
  <c r="E3724" i="1"/>
  <c r="B3724" i="1"/>
  <c r="E3723" i="1"/>
  <c r="B3723" i="1"/>
  <c r="E3722" i="1"/>
  <c r="B3722" i="1"/>
  <c r="E3721" i="1"/>
  <c r="B3721" i="1"/>
  <c r="E3720" i="1"/>
  <c r="B3720" i="1"/>
  <c r="E3719" i="1"/>
  <c r="B3719" i="1"/>
  <c r="E3718" i="1"/>
  <c r="B3718" i="1"/>
  <c r="E3717" i="1"/>
  <c r="B3717" i="1"/>
  <c r="E3716" i="1"/>
  <c r="B3716" i="1"/>
  <c r="E3715" i="1"/>
  <c r="B3715" i="1"/>
  <c r="E3714" i="1"/>
  <c r="B3714" i="1"/>
  <c r="E3713" i="1"/>
  <c r="B3713" i="1"/>
  <c r="E3712" i="1"/>
  <c r="B3712" i="1"/>
  <c r="E3711" i="1"/>
  <c r="B3711" i="1"/>
  <c r="E3710" i="1"/>
  <c r="B3710" i="1"/>
  <c r="E3709" i="1"/>
  <c r="B3709" i="1"/>
  <c r="E3708" i="1"/>
  <c r="B3708" i="1"/>
  <c r="E3707" i="1"/>
  <c r="B3707" i="1"/>
  <c r="E3706" i="1"/>
  <c r="B3706" i="1"/>
  <c r="E3705" i="1"/>
  <c r="B3705" i="1"/>
  <c r="E3704" i="1"/>
  <c r="B3704" i="1"/>
  <c r="E3703" i="1"/>
  <c r="B3703" i="1"/>
  <c r="E3702" i="1"/>
  <c r="B3702" i="1"/>
  <c r="E3701" i="1"/>
  <c r="B3701" i="1"/>
  <c r="E3700" i="1"/>
  <c r="B3700" i="1"/>
  <c r="E3699" i="1"/>
  <c r="B3699" i="1"/>
  <c r="E3698" i="1"/>
  <c r="B3698" i="1"/>
  <c r="E3697" i="1"/>
  <c r="B3697" i="1"/>
  <c r="E3696" i="1"/>
  <c r="B3696" i="1"/>
  <c r="E3695" i="1"/>
  <c r="B3695" i="1"/>
  <c r="E3694" i="1"/>
  <c r="B3694" i="1"/>
  <c r="E3693" i="1"/>
  <c r="B3693" i="1"/>
  <c r="E3692" i="1"/>
  <c r="B3692" i="1"/>
  <c r="E3691" i="1"/>
  <c r="B3691" i="1"/>
  <c r="E3690" i="1"/>
  <c r="B3690" i="1"/>
  <c r="E3689" i="1"/>
  <c r="B3689" i="1"/>
  <c r="E3688" i="1"/>
  <c r="B3688" i="1"/>
  <c r="E3687" i="1"/>
  <c r="B3687" i="1"/>
  <c r="E3686" i="1"/>
  <c r="B3686" i="1"/>
  <c r="E3685" i="1"/>
  <c r="B3685" i="1"/>
  <c r="E3684" i="1"/>
  <c r="B3684" i="1"/>
  <c r="E3683" i="1"/>
  <c r="B3683" i="1"/>
  <c r="E3682" i="1"/>
  <c r="B3682" i="1"/>
  <c r="E3681" i="1"/>
  <c r="B3681" i="1"/>
  <c r="E3680" i="1"/>
  <c r="B3680" i="1"/>
  <c r="E3679" i="1"/>
  <c r="B3679" i="1"/>
  <c r="E3678" i="1"/>
  <c r="B3678" i="1"/>
  <c r="E3677" i="1"/>
  <c r="B3677" i="1"/>
  <c r="E3676" i="1"/>
  <c r="B3676" i="1"/>
  <c r="E3675" i="1"/>
  <c r="B3675" i="1"/>
  <c r="E3674" i="1"/>
  <c r="B3674" i="1"/>
  <c r="E3673" i="1"/>
  <c r="B3673" i="1"/>
  <c r="E3672" i="1"/>
  <c r="B3672" i="1"/>
  <c r="E3671" i="1"/>
  <c r="B3671" i="1"/>
  <c r="E3670" i="1"/>
  <c r="B3670" i="1"/>
  <c r="E3669" i="1"/>
  <c r="B3669" i="1"/>
  <c r="E3668" i="1"/>
  <c r="B3668" i="1"/>
  <c r="E3667" i="1"/>
  <c r="B3667" i="1"/>
  <c r="E3666" i="1"/>
  <c r="B3666" i="1"/>
  <c r="E3665" i="1"/>
  <c r="B3665" i="1"/>
  <c r="E3664" i="1"/>
  <c r="B3664" i="1"/>
  <c r="E3663" i="1"/>
  <c r="B3663" i="1"/>
  <c r="E3662" i="1"/>
  <c r="B3662" i="1"/>
  <c r="E3661" i="1"/>
  <c r="B3661" i="1"/>
  <c r="E3660" i="1"/>
  <c r="B3660" i="1"/>
  <c r="E3659" i="1"/>
  <c r="B3659" i="1"/>
  <c r="E3658" i="1"/>
  <c r="B3658" i="1"/>
  <c r="E3657" i="1"/>
  <c r="B3657" i="1"/>
  <c r="E3656" i="1"/>
  <c r="B3656" i="1"/>
  <c r="E3655" i="1"/>
  <c r="B3655" i="1"/>
  <c r="E3654" i="1"/>
  <c r="B3654" i="1"/>
  <c r="E3653" i="1"/>
  <c r="B3653" i="1"/>
  <c r="E3652" i="1"/>
  <c r="B3652" i="1"/>
  <c r="E3651" i="1"/>
  <c r="B3651" i="1"/>
  <c r="E3650" i="1"/>
  <c r="B3650" i="1"/>
  <c r="E3649" i="1"/>
  <c r="B3649" i="1"/>
  <c r="E3648" i="1"/>
  <c r="B3648" i="1"/>
  <c r="E3647" i="1"/>
  <c r="B3647" i="1"/>
  <c r="E3646" i="1"/>
  <c r="B3646" i="1"/>
  <c r="E3645" i="1"/>
  <c r="B3645" i="1"/>
  <c r="E3644" i="1"/>
  <c r="B3644" i="1"/>
  <c r="E3643" i="1"/>
  <c r="B3643" i="1"/>
  <c r="E3642" i="1"/>
  <c r="B3642" i="1"/>
  <c r="E3641" i="1"/>
  <c r="B3641" i="1"/>
  <c r="E3640" i="1"/>
  <c r="B3640" i="1"/>
  <c r="E3639" i="1"/>
  <c r="B3639" i="1"/>
  <c r="E3638" i="1"/>
  <c r="B3638" i="1"/>
  <c r="E3637" i="1"/>
  <c r="B3637" i="1"/>
  <c r="E3636" i="1"/>
  <c r="B3636" i="1"/>
  <c r="E3635" i="1"/>
  <c r="B3635" i="1"/>
  <c r="E3634" i="1"/>
  <c r="B3634" i="1"/>
  <c r="E3633" i="1"/>
  <c r="B3633" i="1"/>
  <c r="E3632" i="1"/>
  <c r="B3632" i="1"/>
  <c r="E3631" i="1"/>
  <c r="B3631" i="1"/>
  <c r="E3630" i="1"/>
  <c r="B3630" i="1"/>
  <c r="E3629" i="1"/>
  <c r="B3629" i="1"/>
  <c r="E3628" i="1"/>
  <c r="B3628" i="1"/>
  <c r="E3627" i="1"/>
  <c r="B3627" i="1"/>
  <c r="E3626" i="1"/>
  <c r="B3626" i="1"/>
  <c r="E3625" i="1"/>
  <c r="B3625" i="1"/>
  <c r="E3624" i="1"/>
  <c r="B3624" i="1"/>
  <c r="E3623" i="1"/>
  <c r="B3623" i="1"/>
  <c r="E3622" i="1"/>
  <c r="B3622" i="1"/>
  <c r="E3621" i="1"/>
  <c r="B3621" i="1"/>
  <c r="E3620" i="1"/>
  <c r="B3620" i="1"/>
  <c r="E3619" i="1"/>
  <c r="B3619" i="1"/>
  <c r="E3618" i="1"/>
  <c r="B3618" i="1"/>
  <c r="E3617" i="1"/>
  <c r="B3617" i="1"/>
  <c r="E3616" i="1"/>
  <c r="B3616" i="1"/>
  <c r="E3615" i="1"/>
  <c r="B3615" i="1"/>
  <c r="E3614" i="1"/>
  <c r="B3614" i="1"/>
  <c r="E3613" i="1"/>
  <c r="B3613" i="1"/>
  <c r="E3612" i="1"/>
  <c r="B3612" i="1"/>
  <c r="E3611" i="1"/>
  <c r="B3611" i="1"/>
  <c r="E3610" i="1"/>
  <c r="B3610" i="1"/>
  <c r="E3609" i="1"/>
  <c r="B3609" i="1"/>
  <c r="E3608" i="1"/>
  <c r="B3608" i="1"/>
  <c r="E3607" i="1"/>
  <c r="B3607" i="1"/>
  <c r="E3606" i="1"/>
  <c r="B3606" i="1"/>
  <c r="E3605" i="1"/>
  <c r="B3605" i="1"/>
  <c r="E3604" i="1"/>
  <c r="B3604" i="1"/>
  <c r="E3603" i="1"/>
  <c r="B3603" i="1"/>
  <c r="E3602" i="1"/>
  <c r="B3602" i="1"/>
  <c r="E3601" i="1"/>
  <c r="B3601" i="1"/>
  <c r="E3600" i="1"/>
  <c r="B3600" i="1"/>
  <c r="E3599" i="1"/>
  <c r="B3599" i="1"/>
  <c r="E3598" i="1"/>
  <c r="B3598" i="1"/>
  <c r="E3597" i="1"/>
  <c r="B3597" i="1"/>
  <c r="E3596" i="1"/>
  <c r="B3596" i="1"/>
  <c r="E3595" i="1"/>
  <c r="B3595" i="1"/>
  <c r="E3594" i="1"/>
  <c r="B3594" i="1"/>
  <c r="E3593" i="1"/>
  <c r="B3593" i="1"/>
  <c r="E3592" i="1"/>
  <c r="B3592" i="1"/>
  <c r="E3591" i="1"/>
  <c r="B3591" i="1"/>
  <c r="E3590" i="1"/>
  <c r="B3590" i="1"/>
  <c r="E3589" i="1"/>
  <c r="B3589" i="1"/>
  <c r="E3588" i="1"/>
  <c r="B3588" i="1"/>
  <c r="E3587" i="1"/>
  <c r="B3587" i="1"/>
  <c r="E3586" i="1"/>
  <c r="B3586" i="1"/>
  <c r="E3585" i="1"/>
  <c r="B3585" i="1"/>
  <c r="E3584" i="1"/>
  <c r="B3584" i="1"/>
  <c r="E3583" i="1"/>
  <c r="B3583" i="1"/>
  <c r="E3582" i="1"/>
  <c r="B3582" i="1"/>
  <c r="E3581" i="1"/>
  <c r="B3581" i="1"/>
  <c r="E3580" i="1"/>
  <c r="B3580" i="1"/>
  <c r="E3579" i="1"/>
  <c r="B3579" i="1"/>
  <c r="E3578" i="1"/>
  <c r="B3578" i="1"/>
  <c r="E3577" i="1"/>
  <c r="B3577" i="1"/>
  <c r="E3576" i="1"/>
  <c r="B3576" i="1"/>
  <c r="E3575" i="1"/>
  <c r="B3575" i="1"/>
  <c r="E3574" i="1"/>
  <c r="B3574" i="1"/>
  <c r="E3573" i="1"/>
  <c r="B3573" i="1"/>
  <c r="E3572" i="1"/>
  <c r="B3572" i="1"/>
  <c r="E3571" i="1"/>
  <c r="B3571" i="1"/>
  <c r="E3570" i="1"/>
  <c r="B3570" i="1"/>
  <c r="E3569" i="1"/>
  <c r="B3569" i="1"/>
  <c r="E3568" i="1"/>
  <c r="B3568" i="1"/>
  <c r="E3567" i="1"/>
  <c r="B3567" i="1"/>
  <c r="E3566" i="1"/>
  <c r="B3566" i="1"/>
  <c r="E3565" i="1"/>
  <c r="B3565" i="1"/>
  <c r="E3564" i="1"/>
  <c r="B3564" i="1"/>
  <c r="E3563" i="1"/>
  <c r="B3563" i="1"/>
  <c r="E3562" i="1"/>
  <c r="B3562" i="1"/>
  <c r="E3561" i="1"/>
  <c r="B3561" i="1"/>
  <c r="E3560" i="1"/>
  <c r="B3560" i="1"/>
  <c r="E3559" i="1" l="1"/>
  <c r="B3559" i="1"/>
  <c r="E3558" i="1"/>
  <c r="B3558" i="1"/>
  <c r="E3557" i="1"/>
  <c r="B3557" i="1"/>
  <c r="E3556" i="1"/>
  <c r="B3556" i="1"/>
  <c r="E3555" i="1"/>
  <c r="B3555" i="1"/>
  <c r="E3554" i="1"/>
  <c r="B3554" i="1"/>
  <c r="E3553" i="1"/>
  <c r="B3553" i="1"/>
  <c r="E3552" i="1"/>
  <c r="B3552" i="1"/>
  <c r="E3551" i="1"/>
  <c r="B3551" i="1"/>
  <c r="E3550" i="1"/>
  <c r="B3550" i="1"/>
  <c r="E3549" i="1"/>
  <c r="B3549" i="1"/>
  <c r="E3548" i="1"/>
  <c r="B3548" i="1"/>
  <c r="E3547" i="1"/>
  <c r="B3547" i="1"/>
  <c r="E3546" i="1"/>
  <c r="B3546" i="1"/>
  <c r="E3545" i="1"/>
  <c r="B3545" i="1"/>
  <c r="E3544" i="1"/>
  <c r="B3544" i="1"/>
  <c r="E3543" i="1"/>
  <c r="B3543" i="1"/>
  <c r="E3542" i="1"/>
  <c r="B3542" i="1"/>
  <c r="E3541" i="1"/>
  <c r="B3541" i="1"/>
  <c r="E3540" i="1"/>
  <c r="B3540" i="1"/>
  <c r="E3539" i="1"/>
  <c r="B3539" i="1"/>
  <c r="E3538" i="1"/>
  <c r="B3538" i="1"/>
  <c r="E3537" i="1"/>
  <c r="B3537" i="1"/>
  <c r="E3536" i="1"/>
  <c r="B3536" i="1"/>
  <c r="E3535" i="1"/>
  <c r="B3535" i="1"/>
  <c r="E3534" i="1"/>
  <c r="B3534" i="1"/>
  <c r="E3533" i="1"/>
  <c r="B3533" i="1"/>
  <c r="E3532" i="1"/>
  <c r="B3532" i="1"/>
  <c r="E3531" i="1"/>
  <c r="B3531" i="1"/>
  <c r="E3530" i="1"/>
  <c r="B3530" i="1"/>
  <c r="E3529" i="1"/>
  <c r="B3529" i="1"/>
  <c r="E3528" i="1"/>
  <c r="B3528" i="1"/>
  <c r="E3527" i="1"/>
  <c r="B3527" i="1"/>
  <c r="E3526" i="1"/>
  <c r="B3526" i="1"/>
  <c r="E3525" i="1"/>
  <c r="B3525" i="1"/>
  <c r="E3524" i="1"/>
  <c r="B3524" i="1"/>
  <c r="E3523" i="1"/>
  <c r="B3523" i="1"/>
  <c r="E3522" i="1"/>
  <c r="B3522" i="1"/>
  <c r="E3521" i="1"/>
  <c r="B3521" i="1"/>
  <c r="E3520" i="1"/>
  <c r="B3520" i="1"/>
  <c r="E3519" i="1"/>
  <c r="B3519" i="1"/>
  <c r="E3518" i="1"/>
  <c r="B3518" i="1"/>
  <c r="E3517" i="1"/>
  <c r="B3517" i="1"/>
  <c r="E3516" i="1"/>
  <c r="B3516" i="1"/>
  <c r="E3515" i="1"/>
  <c r="B3515" i="1"/>
  <c r="E3514" i="1"/>
  <c r="B3514" i="1"/>
  <c r="E3513" i="1"/>
  <c r="B3513" i="1"/>
  <c r="E3512" i="1"/>
  <c r="B3512" i="1"/>
  <c r="E3511" i="1"/>
  <c r="B3511" i="1"/>
  <c r="E3510" i="1"/>
  <c r="B3510" i="1"/>
  <c r="E3509" i="1"/>
  <c r="B3509" i="1"/>
  <c r="E3508" i="1"/>
  <c r="B3508" i="1"/>
  <c r="E3507" i="1"/>
  <c r="B3507" i="1"/>
  <c r="E3506" i="1"/>
  <c r="B3506" i="1"/>
  <c r="E3505" i="1"/>
  <c r="B3505" i="1"/>
  <c r="E3504" i="1"/>
  <c r="B3504" i="1"/>
  <c r="E3503" i="1"/>
  <c r="B3503" i="1"/>
  <c r="E3502" i="1"/>
  <c r="B3502" i="1"/>
  <c r="E3501" i="1"/>
  <c r="B3501" i="1"/>
  <c r="E3500" i="1"/>
  <c r="B3500" i="1"/>
  <c r="E3499" i="1"/>
  <c r="B3499" i="1"/>
  <c r="E3498" i="1"/>
  <c r="B3498" i="1"/>
  <c r="E3497" i="1"/>
  <c r="B3497" i="1"/>
  <c r="E3496" i="1"/>
  <c r="B3496" i="1"/>
  <c r="E3495" i="1"/>
  <c r="B3495" i="1"/>
  <c r="E3494" i="1"/>
  <c r="B3494" i="1"/>
  <c r="E3493" i="1"/>
  <c r="B3493" i="1"/>
  <c r="E3492" i="1"/>
  <c r="B3492" i="1"/>
  <c r="E3491" i="1"/>
  <c r="B3491" i="1"/>
  <c r="E3490" i="1"/>
  <c r="B3490" i="1"/>
  <c r="E3489" i="1"/>
  <c r="B3489" i="1"/>
  <c r="E3488" i="1"/>
  <c r="B3488" i="1"/>
  <c r="E3487" i="1"/>
  <c r="B3487" i="1"/>
  <c r="E3486" i="1"/>
  <c r="B3486" i="1"/>
  <c r="E3485" i="1"/>
  <c r="B3485" i="1"/>
  <c r="E3484" i="1"/>
  <c r="B3484" i="1"/>
  <c r="E3483" i="1"/>
  <c r="B3483" i="1"/>
  <c r="E3482" i="1"/>
  <c r="B3482" i="1"/>
  <c r="E3481" i="1"/>
  <c r="B3481" i="1"/>
  <c r="E3480" i="1"/>
  <c r="B3480" i="1"/>
  <c r="E3479" i="1"/>
  <c r="B3479" i="1"/>
  <c r="E3478" i="1"/>
  <c r="B3478" i="1"/>
  <c r="E3477" i="1"/>
  <c r="B3477" i="1"/>
  <c r="E3476" i="1"/>
  <c r="B3476" i="1"/>
  <c r="E3475" i="1"/>
  <c r="B3475" i="1"/>
  <c r="E3474" i="1"/>
  <c r="B3474" i="1"/>
  <c r="E3473" i="1"/>
  <c r="B3473" i="1"/>
  <c r="E3472" i="1"/>
  <c r="B3472" i="1"/>
  <c r="E3471" i="1"/>
  <c r="B3471" i="1"/>
  <c r="E3470" i="1"/>
  <c r="B3470" i="1"/>
  <c r="E3469" i="1"/>
  <c r="B3469" i="1"/>
  <c r="E3468" i="1"/>
  <c r="B3468" i="1"/>
  <c r="E3467" i="1"/>
  <c r="B3467" i="1"/>
  <c r="E3466" i="1"/>
  <c r="B3466" i="1"/>
  <c r="E3465" i="1"/>
  <c r="B3465" i="1"/>
  <c r="E3464" i="1"/>
  <c r="B3464" i="1"/>
  <c r="E3463" i="1"/>
  <c r="B3463" i="1"/>
  <c r="E3462" i="1"/>
  <c r="B3462" i="1"/>
  <c r="E3461" i="1"/>
  <c r="B3461" i="1"/>
  <c r="E3460" i="1"/>
  <c r="B3460" i="1"/>
  <c r="E3459" i="1"/>
  <c r="B3459" i="1"/>
  <c r="E3458" i="1"/>
  <c r="B3458" i="1"/>
  <c r="E3457" i="1"/>
  <c r="B3457" i="1"/>
  <c r="E3456" i="1"/>
  <c r="B3456" i="1"/>
  <c r="E3455" i="1"/>
  <c r="B3455" i="1"/>
  <c r="E3454" i="1"/>
  <c r="B3454" i="1"/>
  <c r="E3453" i="1"/>
  <c r="B3453" i="1"/>
  <c r="E3452" i="1"/>
  <c r="B3452" i="1"/>
  <c r="E3451" i="1"/>
  <c r="B3451" i="1"/>
  <c r="E3450" i="1"/>
  <c r="B3450" i="1"/>
  <c r="E3449" i="1"/>
  <c r="B3449" i="1"/>
  <c r="E3448" i="1"/>
  <c r="B3448" i="1"/>
  <c r="E3447" i="1"/>
  <c r="B3447" i="1"/>
  <c r="E3446" i="1"/>
  <c r="B3446" i="1"/>
  <c r="E3445" i="1"/>
  <c r="B3445" i="1"/>
  <c r="E3444" i="1"/>
  <c r="B3444" i="1"/>
  <c r="E3443" i="1"/>
  <c r="B3443" i="1"/>
  <c r="E3442" i="1"/>
  <c r="B3442" i="1"/>
  <c r="E3441" i="1"/>
  <c r="B3441" i="1"/>
  <c r="E3440" i="1"/>
  <c r="B3440" i="1"/>
  <c r="E3439" i="1"/>
  <c r="B3439" i="1"/>
  <c r="E3438" i="1"/>
  <c r="B3438" i="1"/>
  <c r="E3437" i="1"/>
  <c r="B3437" i="1"/>
  <c r="E3436" i="1"/>
  <c r="B3436" i="1"/>
  <c r="E3435" i="1"/>
  <c r="B3435" i="1"/>
  <c r="E3434" i="1"/>
  <c r="B3434" i="1"/>
  <c r="E3433" i="1"/>
  <c r="B3433" i="1"/>
  <c r="E3432" i="1"/>
  <c r="B3432" i="1"/>
  <c r="E3431" i="1"/>
  <c r="B3431" i="1"/>
  <c r="E3430" i="1"/>
  <c r="B3430" i="1"/>
  <c r="E3429" i="1"/>
  <c r="B3429" i="1"/>
  <c r="E3428" i="1"/>
  <c r="B3428" i="1"/>
  <c r="E3427" i="1"/>
  <c r="B3427" i="1"/>
  <c r="E3426" i="1"/>
  <c r="B3426" i="1"/>
  <c r="E3425" i="1"/>
  <c r="B3425" i="1"/>
  <c r="E3424" i="1"/>
  <c r="B3424" i="1"/>
  <c r="E3423" i="1"/>
  <c r="B3423" i="1"/>
  <c r="E3422" i="1"/>
  <c r="B3422" i="1"/>
  <c r="E3421" i="1"/>
  <c r="B3421" i="1"/>
  <c r="E3420" i="1"/>
  <c r="B3420" i="1"/>
  <c r="E3419" i="1"/>
  <c r="B3419" i="1"/>
  <c r="E3418" i="1"/>
  <c r="B3418" i="1"/>
  <c r="E3417" i="1"/>
  <c r="B3417" i="1"/>
  <c r="E3416" i="1"/>
  <c r="B3416" i="1"/>
  <c r="E3415" i="1"/>
  <c r="B3415" i="1"/>
  <c r="E3414" i="1"/>
  <c r="B3414" i="1"/>
  <c r="E3413" i="1"/>
  <c r="B3413" i="1"/>
  <c r="E3412" i="1"/>
  <c r="B3412" i="1"/>
  <c r="E3411" i="1"/>
  <c r="B3411" i="1"/>
  <c r="E3410" i="1"/>
  <c r="B3410" i="1"/>
  <c r="E3409" i="1"/>
  <c r="B3409" i="1"/>
  <c r="E3408" i="1"/>
  <c r="B3408" i="1"/>
  <c r="E3407" i="1"/>
  <c r="B3407" i="1"/>
  <c r="E3406" i="1"/>
  <c r="B3406" i="1"/>
  <c r="E3405" i="1"/>
  <c r="B3405" i="1"/>
  <c r="E3404" i="1"/>
  <c r="B3404" i="1"/>
  <c r="E3403" i="1"/>
  <c r="B3403" i="1"/>
  <c r="E3402" i="1"/>
  <c r="B3402" i="1"/>
  <c r="E3401" i="1"/>
  <c r="B3401" i="1"/>
  <c r="E3400" i="1"/>
  <c r="B3400" i="1"/>
  <c r="E3399" i="1"/>
  <c r="B3399" i="1"/>
  <c r="E3398" i="1"/>
  <c r="B3398" i="1"/>
  <c r="E3397" i="1"/>
  <c r="B3397" i="1"/>
  <c r="E3396" i="1"/>
  <c r="B3396" i="1"/>
  <c r="E3395" i="1"/>
  <c r="B3395" i="1"/>
  <c r="E3394" i="1"/>
  <c r="B3394" i="1"/>
  <c r="E3393" i="1"/>
  <c r="B3393" i="1"/>
  <c r="E3392" i="1"/>
  <c r="B3392" i="1"/>
  <c r="E3391" i="1"/>
  <c r="B3391" i="1"/>
  <c r="E3390" i="1" l="1"/>
  <c r="B3390" i="1"/>
  <c r="E3389" i="1"/>
  <c r="B3389" i="1"/>
  <c r="E3388" i="1"/>
  <c r="B3388" i="1"/>
  <c r="E3387" i="1"/>
  <c r="B3387" i="1"/>
  <c r="E3386" i="1"/>
  <c r="B3386" i="1"/>
  <c r="E3385" i="1"/>
  <c r="B3385" i="1"/>
  <c r="E3384" i="1"/>
  <c r="B3384" i="1"/>
  <c r="E3383" i="1"/>
  <c r="B3383" i="1"/>
  <c r="E3382" i="1"/>
  <c r="B3382" i="1"/>
  <c r="E3381" i="1"/>
  <c r="B3381" i="1"/>
  <c r="E3380" i="1"/>
  <c r="B3380" i="1"/>
  <c r="E3379" i="1"/>
  <c r="B3379" i="1"/>
  <c r="E3378" i="1"/>
  <c r="B3378" i="1"/>
  <c r="E3377" i="1"/>
  <c r="B3377" i="1"/>
  <c r="E3376" i="1"/>
  <c r="B3376" i="1"/>
  <c r="E3375" i="1"/>
  <c r="B3375" i="1"/>
  <c r="E3374" i="1"/>
  <c r="B3374" i="1"/>
  <c r="E3373" i="1"/>
  <c r="B3373" i="1"/>
  <c r="E3372" i="1"/>
  <c r="B3372" i="1"/>
  <c r="E3371" i="1"/>
  <c r="B3371" i="1"/>
  <c r="E3370" i="1"/>
  <c r="B3370" i="1"/>
  <c r="E3369" i="1"/>
  <c r="B3369" i="1"/>
  <c r="E3368" i="1"/>
  <c r="B3368" i="1"/>
  <c r="E3367" i="1"/>
  <c r="B3367" i="1"/>
  <c r="E3366" i="1"/>
  <c r="B3366" i="1"/>
  <c r="E3365" i="1"/>
  <c r="B3365" i="1"/>
  <c r="E3364" i="1"/>
  <c r="B3364" i="1"/>
  <c r="E3363" i="1"/>
  <c r="B3363" i="1"/>
  <c r="E3362" i="1"/>
  <c r="B3362" i="1"/>
  <c r="E3361" i="1"/>
  <c r="B3361" i="1"/>
  <c r="E3360" i="1"/>
  <c r="B3360" i="1"/>
  <c r="E3359" i="1"/>
  <c r="B3359" i="1"/>
  <c r="E3358" i="1"/>
  <c r="B3358" i="1"/>
  <c r="E3357" i="1"/>
  <c r="B3357" i="1"/>
  <c r="E3356" i="1"/>
  <c r="B3356" i="1"/>
  <c r="E3355" i="1"/>
  <c r="B3355" i="1"/>
  <c r="E3354" i="1"/>
  <c r="B3354" i="1"/>
  <c r="E3353" i="1"/>
  <c r="B3353" i="1"/>
  <c r="E3352" i="1"/>
  <c r="B3352" i="1"/>
  <c r="E3351" i="1"/>
  <c r="B3351" i="1"/>
  <c r="E3350" i="1"/>
  <c r="B3350" i="1"/>
  <c r="E3349" i="1"/>
  <c r="B3349" i="1"/>
  <c r="E3348" i="1"/>
  <c r="B3348" i="1"/>
  <c r="E3347" i="1"/>
  <c r="B3347" i="1"/>
  <c r="E3346" i="1"/>
  <c r="B3346" i="1"/>
  <c r="E3345" i="1"/>
  <c r="B3345" i="1"/>
  <c r="E3344" i="1"/>
  <c r="B3344" i="1"/>
  <c r="E3343" i="1"/>
  <c r="B3343" i="1"/>
  <c r="E3342" i="1"/>
  <c r="B3342" i="1"/>
  <c r="E3341" i="1"/>
  <c r="B3341" i="1"/>
  <c r="E3340" i="1"/>
  <c r="B3340" i="1"/>
  <c r="E3339" i="1"/>
  <c r="B3339" i="1"/>
  <c r="E3338" i="1"/>
  <c r="B3338" i="1"/>
  <c r="E3337" i="1"/>
  <c r="B3337" i="1"/>
  <c r="E3336" i="1"/>
  <c r="B3336" i="1"/>
  <c r="E3335" i="1"/>
  <c r="B3335" i="1"/>
  <c r="E3334" i="1"/>
  <c r="B3334" i="1"/>
  <c r="E3333" i="1"/>
  <c r="B3333" i="1"/>
  <c r="E3332" i="1"/>
  <c r="B3332" i="1"/>
  <c r="E3331" i="1"/>
  <c r="B3331" i="1"/>
  <c r="E3330" i="1"/>
  <c r="B3330" i="1"/>
  <c r="E3329" i="1"/>
  <c r="B3329" i="1"/>
  <c r="E3328" i="1"/>
  <c r="B3328" i="1"/>
  <c r="E3327" i="1"/>
  <c r="B3327" i="1"/>
  <c r="E3326" i="1"/>
  <c r="B3326" i="1"/>
  <c r="E3325" i="1"/>
  <c r="B3325" i="1"/>
  <c r="E3324" i="1"/>
  <c r="B3324" i="1"/>
  <c r="E3323" i="1"/>
  <c r="B3323" i="1"/>
  <c r="E3322" i="1"/>
  <c r="B3322" i="1"/>
  <c r="E3321" i="1"/>
  <c r="B3321" i="1"/>
  <c r="E3320" i="1"/>
  <c r="B3320" i="1"/>
  <c r="E3319" i="1"/>
  <c r="B3319" i="1"/>
  <c r="E3318" i="1"/>
  <c r="B3318" i="1"/>
  <c r="E3317" i="1"/>
  <c r="B3317" i="1"/>
  <c r="E3316" i="1"/>
  <c r="B3316" i="1"/>
  <c r="E3315" i="1"/>
  <c r="B3315" i="1"/>
  <c r="E3314" i="1"/>
  <c r="B3314" i="1"/>
  <c r="E3313" i="1"/>
  <c r="B3313" i="1"/>
  <c r="E3312" i="1"/>
  <c r="B3312" i="1"/>
  <c r="E3311" i="1"/>
  <c r="B3311" i="1"/>
  <c r="E3310" i="1"/>
  <c r="B3310" i="1"/>
  <c r="E3309" i="1"/>
  <c r="B3309" i="1"/>
  <c r="E3308" i="1"/>
  <c r="B3308" i="1"/>
  <c r="E3307" i="1"/>
  <c r="B3307" i="1"/>
  <c r="E3306" i="1"/>
  <c r="B3306" i="1"/>
  <c r="E3305" i="1"/>
  <c r="B3305" i="1"/>
  <c r="E3304" i="1"/>
  <c r="B3304" i="1"/>
  <c r="E3303" i="1"/>
  <c r="B3303" i="1"/>
  <c r="E3302" i="1"/>
  <c r="B3302" i="1"/>
  <c r="E3301" i="1"/>
  <c r="B3301" i="1"/>
  <c r="E3300" i="1"/>
  <c r="B3300" i="1"/>
  <c r="E3299" i="1"/>
  <c r="B3299" i="1"/>
  <c r="E3298" i="1"/>
  <c r="B3298" i="1"/>
  <c r="E3297" i="1"/>
  <c r="B3297" i="1"/>
  <c r="E3296" i="1"/>
  <c r="B3296" i="1"/>
  <c r="E3295" i="1"/>
  <c r="B3295" i="1"/>
  <c r="E3294" i="1"/>
  <c r="B3294" i="1"/>
  <c r="E3293" i="1"/>
  <c r="B3293" i="1"/>
  <c r="E3292" i="1"/>
  <c r="B3292" i="1"/>
  <c r="E3291" i="1"/>
  <c r="B3291" i="1"/>
  <c r="E3290" i="1"/>
  <c r="B3290" i="1"/>
  <c r="E3289" i="1"/>
  <c r="B3289" i="1"/>
  <c r="E3288" i="1"/>
  <c r="B3288" i="1"/>
  <c r="E3287" i="1"/>
  <c r="B3287" i="1"/>
  <c r="E3286" i="1"/>
  <c r="B3286" i="1"/>
  <c r="E3285" i="1"/>
  <c r="B3285" i="1"/>
  <c r="E3284" i="1"/>
  <c r="B3284" i="1"/>
  <c r="E3283" i="1"/>
  <c r="B3283" i="1"/>
  <c r="E3282" i="1"/>
  <c r="B3282" i="1"/>
  <c r="E3281" i="1"/>
  <c r="B3281" i="1"/>
  <c r="E3280" i="1"/>
  <c r="B3280" i="1"/>
  <c r="E3279" i="1"/>
  <c r="B3279" i="1"/>
  <c r="E3278" i="1"/>
  <c r="B3278" i="1"/>
  <c r="E3277" i="1"/>
  <c r="B3277" i="1"/>
  <c r="E3276" i="1"/>
  <c r="B3276" i="1"/>
  <c r="E3275" i="1"/>
  <c r="B3275" i="1"/>
  <c r="E3274" i="1"/>
  <c r="B3274" i="1"/>
  <c r="E3273" i="1"/>
  <c r="B3273" i="1"/>
  <c r="E3272" i="1"/>
  <c r="B3272" i="1"/>
  <c r="E3271" i="1"/>
  <c r="B3271" i="1"/>
  <c r="E3270" i="1"/>
  <c r="B3270" i="1"/>
  <c r="E3269" i="1"/>
  <c r="B3269" i="1"/>
  <c r="E3268" i="1"/>
  <c r="B3268" i="1"/>
  <c r="E3267" i="1"/>
  <c r="B3267" i="1"/>
  <c r="E3266" i="1"/>
  <c r="B3266" i="1"/>
  <c r="E3265" i="1"/>
  <c r="B3265" i="1"/>
  <c r="E3264" i="1"/>
  <c r="B3264" i="1"/>
  <c r="E3263" i="1"/>
  <c r="B3263" i="1"/>
  <c r="E3262" i="1"/>
  <c r="B3262" i="1"/>
  <c r="E3261" i="1"/>
  <c r="B3261" i="1"/>
  <c r="E3260" i="1"/>
  <c r="B3260" i="1"/>
  <c r="E3259" i="1"/>
  <c r="B3259" i="1"/>
  <c r="E3258" i="1"/>
  <c r="B3258" i="1"/>
  <c r="E3257" i="1"/>
  <c r="B3257" i="1"/>
  <c r="E3256" i="1"/>
  <c r="B3256" i="1"/>
  <c r="E3255" i="1"/>
  <c r="B3255" i="1"/>
  <c r="E3254" i="1"/>
  <c r="B3254" i="1"/>
  <c r="E3253" i="1" l="1"/>
  <c r="B3253" i="1"/>
  <c r="E3252" i="1"/>
  <c r="B3252" i="1"/>
  <c r="E3251" i="1"/>
  <c r="B3251" i="1"/>
  <c r="E3250" i="1"/>
  <c r="B3250" i="1"/>
  <c r="E3249" i="1"/>
  <c r="B3249" i="1"/>
  <c r="E3248" i="1"/>
  <c r="B3248" i="1"/>
  <c r="E3247" i="1"/>
  <c r="B3247" i="1"/>
  <c r="E3246" i="1"/>
  <c r="B3246" i="1"/>
  <c r="E3245" i="1"/>
  <c r="B3245" i="1"/>
  <c r="E3244" i="1"/>
  <c r="B3244" i="1"/>
  <c r="E3243" i="1"/>
  <c r="B3243" i="1"/>
  <c r="E3242" i="1"/>
  <c r="B3242" i="1"/>
  <c r="E3241" i="1"/>
  <c r="B3241" i="1"/>
  <c r="E3240" i="1"/>
  <c r="B3240" i="1"/>
  <c r="E3239" i="1"/>
  <c r="B3239" i="1"/>
  <c r="E3238" i="1"/>
  <c r="B3238" i="1"/>
  <c r="E3237" i="1"/>
  <c r="B3237" i="1"/>
  <c r="E3236" i="1"/>
  <c r="B3236" i="1"/>
  <c r="E3235" i="1"/>
  <c r="B3235" i="1"/>
  <c r="E3234" i="1"/>
  <c r="B3234" i="1"/>
  <c r="E3233" i="1"/>
  <c r="B3233" i="1"/>
  <c r="E3232" i="1"/>
  <c r="B3232" i="1"/>
  <c r="E3231" i="1"/>
  <c r="B3231" i="1"/>
  <c r="E3230" i="1"/>
  <c r="B3230" i="1"/>
  <c r="E3229" i="1"/>
  <c r="B3229" i="1"/>
  <c r="E3228" i="1"/>
  <c r="B3228" i="1"/>
  <c r="E3227" i="1"/>
  <c r="B3227" i="1"/>
  <c r="E3226" i="1"/>
  <c r="B3226" i="1"/>
  <c r="E3225" i="1"/>
  <c r="B3225" i="1"/>
  <c r="E3224" i="1"/>
  <c r="B3224" i="1"/>
  <c r="E3223" i="1"/>
  <c r="B3223" i="1"/>
  <c r="E3222" i="1"/>
  <c r="B3222" i="1"/>
  <c r="E3221" i="1"/>
  <c r="B3221" i="1"/>
  <c r="E3220" i="1"/>
  <c r="B3220" i="1"/>
  <c r="E3219" i="1"/>
  <c r="B3219" i="1"/>
  <c r="E3218" i="1"/>
  <c r="B3218" i="1"/>
  <c r="E3217" i="1"/>
  <c r="B3217" i="1"/>
  <c r="E3216" i="1"/>
  <c r="B3216" i="1"/>
  <c r="E3215" i="1"/>
  <c r="B3215" i="1"/>
  <c r="E3214" i="1"/>
  <c r="B3214" i="1"/>
  <c r="E3213" i="1"/>
  <c r="B3213" i="1"/>
  <c r="E3212" i="1"/>
  <c r="B3212" i="1"/>
  <c r="E3211" i="1"/>
  <c r="B3211" i="1"/>
  <c r="E3210" i="1"/>
  <c r="B3210" i="1"/>
  <c r="E3209" i="1"/>
  <c r="B3209" i="1"/>
  <c r="E3208" i="1"/>
  <c r="B3208" i="1"/>
  <c r="E3207" i="1"/>
  <c r="B3207" i="1"/>
  <c r="E3206" i="1"/>
  <c r="B3206" i="1"/>
  <c r="E3205" i="1"/>
  <c r="B3205" i="1"/>
  <c r="E3204" i="1"/>
  <c r="B3204" i="1"/>
  <c r="E3203" i="1"/>
  <c r="B3203" i="1"/>
  <c r="E3202" i="1"/>
  <c r="B3202" i="1"/>
  <c r="E3201" i="1"/>
  <c r="B3201" i="1"/>
  <c r="E3200" i="1"/>
  <c r="B3200" i="1"/>
  <c r="E3199" i="1"/>
  <c r="B3199" i="1"/>
  <c r="E3198" i="1"/>
  <c r="B3198" i="1"/>
  <c r="E3197" i="1"/>
  <c r="B3197" i="1"/>
  <c r="E3196" i="1"/>
  <c r="B3196" i="1"/>
  <c r="E3195" i="1"/>
  <c r="B3195" i="1"/>
  <c r="E3194" i="1"/>
  <c r="B3194" i="1"/>
  <c r="E3193" i="1"/>
  <c r="B3193" i="1"/>
  <c r="E3192" i="1"/>
  <c r="B3192" i="1"/>
  <c r="E3191" i="1"/>
  <c r="B3191" i="1"/>
  <c r="E3190" i="1"/>
  <c r="B3190" i="1"/>
  <c r="E3189" i="1"/>
  <c r="B3189" i="1"/>
  <c r="E3188" i="1"/>
  <c r="B3188" i="1"/>
  <c r="E3187" i="1"/>
  <c r="B3187" i="1"/>
  <c r="E3186" i="1"/>
  <c r="B3186" i="1"/>
  <c r="E3185" i="1"/>
  <c r="B3185" i="1"/>
  <c r="E3184" i="1"/>
  <c r="B3184" i="1"/>
  <c r="E3183" i="1"/>
  <c r="B3183" i="1"/>
  <c r="E3182" i="1"/>
  <c r="B3182" i="1"/>
  <c r="E3181" i="1"/>
  <c r="B3181" i="1"/>
  <c r="E3180" i="1"/>
  <c r="B3180" i="1"/>
  <c r="E3179" i="1"/>
  <c r="B3179" i="1"/>
  <c r="E3178" i="1"/>
  <c r="B3178" i="1"/>
  <c r="E3177" i="1"/>
  <c r="B3177" i="1"/>
  <c r="E3176" i="1"/>
  <c r="B3176" i="1"/>
  <c r="E3175" i="1"/>
  <c r="B3175" i="1"/>
  <c r="E3174" i="1"/>
  <c r="B3174" i="1"/>
  <c r="E3173" i="1"/>
  <c r="B3173" i="1"/>
  <c r="E3172" i="1"/>
  <c r="B3172" i="1"/>
  <c r="E3171" i="1"/>
  <c r="B3171" i="1"/>
  <c r="E3170" i="1"/>
  <c r="B3170" i="1"/>
  <c r="E3169" i="1"/>
  <c r="B3169" i="1"/>
  <c r="E3168" i="1"/>
  <c r="B3168" i="1"/>
  <c r="E3167" i="1"/>
  <c r="B3167" i="1"/>
  <c r="E3166" i="1"/>
  <c r="B3166" i="1"/>
  <c r="E3165" i="1"/>
  <c r="B3165" i="1"/>
  <c r="E3164" i="1"/>
  <c r="B3164" i="1"/>
  <c r="E3163" i="1"/>
  <c r="B3163" i="1"/>
  <c r="E3162" i="1"/>
  <c r="B3162" i="1"/>
  <c r="E3161" i="1"/>
  <c r="B3161" i="1"/>
  <c r="E3160" i="1"/>
  <c r="B3160" i="1"/>
  <c r="E3159" i="1"/>
  <c r="B3159" i="1"/>
  <c r="E3158" i="1"/>
  <c r="B3158" i="1"/>
  <c r="E3157" i="1"/>
  <c r="B3157" i="1"/>
  <c r="E3156" i="1"/>
  <c r="B3156" i="1"/>
  <c r="E3155" i="1"/>
  <c r="B3155" i="1"/>
  <c r="E3154" i="1"/>
  <c r="B3154" i="1"/>
  <c r="E3153" i="1"/>
  <c r="B3153" i="1"/>
  <c r="E3152" i="1"/>
  <c r="B3152" i="1"/>
  <c r="E3151" i="1"/>
  <c r="B3151" i="1"/>
  <c r="E3150" i="1"/>
  <c r="B3150" i="1"/>
  <c r="E3149" i="1"/>
  <c r="B3149" i="1"/>
  <c r="E3148" i="1"/>
  <c r="B3148" i="1"/>
  <c r="E3147" i="1"/>
  <c r="B3147" i="1"/>
  <c r="E3146" i="1"/>
  <c r="B3146" i="1"/>
  <c r="E3145" i="1"/>
  <c r="B3145" i="1"/>
  <c r="E3144" i="1"/>
  <c r="B3144" i="1"/>
  <c r="E3143" i="1"/>
  <c r="B3143" i="1"/>
  <c r="E3142" i="1"/>
  <c r="B3142" i="1"/>
  <c r="E3141" i="1"/>
  <c r="B3141" i="1"/>
  <c r="E3140" i="1"/>
  <c r="B3140" i="1"/>
  <c r="E3139" i="1"/>
  <c r="B3139" i="1"/>
  <c r="E3138" i="1"/>
  <c r="B3138" i="1"/>
  <c r="E3137" i="1"/>
  <c r="B3137" i="1"/>
  <c r="E3136" i="1"/>
  <c r="B3136" i="1"/>
  <c r="E3135" i="1"/>
  <c r="B3135" i="1"/>
  <c r="E3134" i="1"/>
  <c r="B3134" i="1"/>
  <c r="E3133" i="1"/>
  <c r="B3133" i="1"/>
  <c r="E3132" i="1"/>
  <c r="B3132" i="1"/>
  <c r="E3131" i="1"/>
  <c r="B3131" i="1"/>
  <c r="E3130" i="1"/>
  <c r="B3130" i="1"/>
  <c r="E3129" i="1"/>
  <c r="B3129" i="1"/>
  <c r="E3128" i="1"/>
  <c r="B3128" i="1"/>
  <c r="E3127" i="1"/>
  <c r="B3127" i="1"/>
  <c r="E3126" i="1"/>
  <c r="B3126" i="1"/>
  <c r="E3125" i="1"/>
  <c r="B3125" i="1"/>
  <c r="B2946" i="1" l="1"/>
  <c r="E3124" i="1"/>
  <c r="B3124" i="1"/>
  <c r="E3123" i="1"/>
  <c r="B3123" i="1"/>
  <c r="E3122" i="1"/>
  <c r="B3122" i="1"/>
  <c r="E3121" i="1"/>
  <c r="B3121" i="1"/>
  <c r="E3120" i="1"/>
  <c r="B3120" i="1"/>
  <c r="E3119" i="1"/>
  <c r="B3119" i="1"/>
  <c r="E3118" i="1"/>
  <c r="B3118" i="1"/>
  <c r="E3117" i="1"/>
  <c r="B3117" i="1"/>
  <c r="E3116" i="1"/>
  <c r="B3116" i="1"/>
  <c r="E3115" i="1"/>
  <c r="B3115" i="1"/>
  <c r="E3114" i="1"/>
  <c r="B3114" i="1"/>
  <c r="E3113" i="1"/>
  <c r="B3113" i="1"/>
  <c r="E3112" i="1"/>
  <c r="B3112" i="1"/>
  <c r="E3111" i="1"/>
  <c r="B3111" i="1"/>
  <c r="E3110" i="1"/>
  <c r="B3110" i="1"/>
  <c r="E3109" i="1"/>
  <c r="B3109" i="1"/>
  <c r="E3108" i="1"/>
  <c r="B3108" i="1"/>
  <c r="E3107" i="1"/>
  <c r="B3107" i="1"/>
  <c r="E3106" i="1"/>
  <c r="B3106" i="1"/>
  <c r="E3105" i="1"/>
  <c r="B3105" i="1"/>
  <c r="E3104" i="1"/>
  <c r="B3104" i="1"/>
  <c r="E3103" i="1"/>
  <c r="B3103" i="1"/>
  <c r="E3102" i="1"/>
  <c r="B3102" i="1"/>
  <c r="E3101" i="1"/>
  <c r="B3101" i="1"/>
  <c r="E3100" i="1"/>
  <c r="B3100" i="1"/>
  <c r="E3099" i="1"/>
  <c r="B3099" i="1"/>
  <c r="E3098" i="1"/>
  <c r="B3098" i="1"/>
  <c r="E3097" i="1"/>
  <c r="B3097" i="1"/>
  <c r="E3096" i="1"/>
  <c r="B3096" i="1"/>
  <c r="E3095" i="1"/>
  <c r="B3095" i="1"/>
  <c r="E3094" i="1"/>
  <c r="B3094" i="1"/>
  <c r="E3093" i="1"/>
  <c r="B3093" i="1"/>
  <c r="E3092" i="1"/>
  <c r="B3092" i="1"/>
  <c r="E3091" i="1"/>
  <c r="B3091" i="1"/>
  <c r="E3090" i="1"/>
  <c r="B3090" i="1"/>
  <c r="E3089" i="1"/>
  <c r="B3089" i="1"/>
  <c r="E3088" i="1"/>
  <c r="B3088" i="1"/>
  <c r="E3087" i="1"/>
  <c r="B3087" i="1"/>
  <c r="E3086" i="1"/>
  <c r="B3086" i="1"/>
  <c r="E3085" i="1"/>
  <c r="B3085" i="1"/>
  <c r="E3084" i="1"/>
  <c r="B3084" i="1"/>
  <c r="E3083" i="1"/>
  <c r="B3083" i="1"/>
  <c r="E3082" i="1"/>
  <c r="B3082" i="1"/>
  <c r="E3081" i="1"/>
  <c r="B3081" i="1"/>
  <c r="E3080" i="1"/>
  <c r="B3080" i="1"/>
  <c r="E3079" i="1"/>
  <c r="B3079" i="1"/>
  <c r="E3078" i="1"/>
  <c r="B3078" i="1"/>
  <c r="E3077" i="1"/>
  <c r="B3077" i="1"/>
  <c r="E3076" i="1"/>
  <c r="B3076" i="1"/>
  <c r="E3075" i="1"/>
  <c r="B3075" i="1"/>
  <c r="E3074" i="1"/>
  <c r="B3074" i="1"/>
  <c r="E3073" i="1"/>
  <c r="B3073" i="1"/>
  <c r="E3072" i="1"/>
  <c r="B3072" i="1"/>
  <c r="E3071" i="1"/>
  <c r="B3071" i="1"/>
  <c r="E3070" i="1"/>
  <c r="B3070" i="1"/>
  <c r="E3069" i="1"/>
  <c r="B3069" i="1"/>
  <c r="E3068" i="1"/>
  <c r="B3068" i="1"/>
  <c r="E3067" i="1"/>
  <c r="B3067" i="1"/>
  <c r="E3066" i="1"/>
  <c r="B3066" i="1"/>
  <c r="E3065" i="1"/>
  <c r="B3065" i="1"/>
  <c r="E3064" i="1"/>
  <c r="B3064" i="1"/>
  <c r="E3063" i="1"/>
  <c r="B3063" i="1"/>
  <c r="E3062" i="1"/>
  <c r="B3062" i="1"/>
  <c r="E3061" i="1"/>
  <c r="B3061" i="1"/>
  <c r="E3060" i="1"/>
  <c r="B3060" i="1"/>
  <c r="E3059" i="1"/>
  <c r="B3059" i="1"/>
  <c r="E3058" i="1"/>
  <c r="B3058" i="1"/>
  <c r="E3057" i="1"/>
  <c r="B3057" i="1"/>
  <c r="E3056" i="1"/>
  <c r="B3056" i="1"/>
  <c r="E3055" i="1"/>
  <c r="B3055" i="1"/>
  <c r="E3054" i="1"/>
  <c r="B3054" i="1"/>
  <c r="E3053" i="1"/>
  <c r="B3053" i="1"/>
  <c r="E3052" i="1"/>
  <c r="B3052" i="1"/>
  <c r="E3051" i="1"/>
  <c r="B3051" i="1"/>
  <c r="E3050" i="1"/>
  <c r="B3050" i="1"/>
  <c r="E3049" i="1"/>
  <c r="B3049" i="1"/>
  <c r="E3048" i="1"/>
  <c r="B3048" i="1"/>
  <c r="E3047" i="1"/>
  <c r="B3047" i="1"/>
  <c r="E3046" i="1"/>
  <c r="B3046" i="1"/>
  <c r="E3045" i="1"/>
  <c r="B3045" i="1"/>
  <c r="E3044" i="1"/>
  <c r="B3044" i="1"/>
  <c r="E3043" i="1"/>
  <c r="B3043" i="1"/>
  <c r="E3042" i="1"/>
  <c r="B3042" i="1"/>
  <c r="E3041" i="1"/>
  <c r="B3041" i="1"/>
  <c r="E3040" i="1"/>
  <c r="B3040" i="1"/>
  <c r="E3039" i="1"/>
  <c r="B3039" i="1"/>
  <c r="E3038" i="1"/>
  <c r="B3038" i="1"/>
  <c r="E3037" i="1"/>
  <c r="B3037" i="1"/>
  <c r="E3036" i="1"/>
  <c r="B3036" i="1"/>
  <c r="E3035" i="1"/>
  <c r="B3035" i="1"/>
  <c r="E3034" i="1"/>
  <c r="B3034" i="1"/>
  <c r="E3033" i="1"/>
  <c r="B3033" i="1"/>
  <c r="E3032" i="1"/>
  <c r="B3032" i="1"/>
  <c r="E3031" i="1"/>
  <c r="B3031" i="1"/>
  <c r="E3030" i="1"/>
  <c r="B3030" i="1"/>
  <c r="E3029" i="1"/>
  <c r="B3029" i="1"/>
  <c r="E3028" i="1"/>
  <c r="B3028" i="1"/>
  <c r="E3027" i="1"/>
  <c r="B3027" i="1"/>
  <c r="E3026" i="1"/>
  <c r="B3026" i="1"/>
  <c r="E3025" i="1"/>
  <c r="B3025" i="1"/>
  <c r="E3024" i="1"/>
  <c r="B3024" i="1"/>
  <c r="E3023" i="1"/>
  <c r="B3023" i="1"/>
  <c r="E3022" i="1"/>
  <c r="B3022" i="1"/>
  <c r="E3021" i="1"/>
  <c r="B3021" i="1"/>
  <c r="E3020" i="1"/>
  <c r="B3020" i="1"/>
  <c r="E3019" i="1"/>
  <c r="B3019" i="1"/>
  <c r="E3018" i="1"/>
  <c r="B3018" i="1"/>
  <c r="E3017" i="1"/>
  <c r="B3017" i="1"/>
  <c r="E3016" i="1"/>
  <c r="B3016" i="1"/>
  <c r="E3015" i="1"/>
  <c r="B3015" i="1"/>
  <c r="E3014" i="1"/>
  <c r="B3014" i="1"/>
  <c r="E3013" i="1"/>
  <c r="B3013" i="1"/>
  <c r="E3012" i="1"/>
  <c r="B3012" i="1"/>
  <c r="E3011" i="1"/>
  <c r="B3011" i="1"/>
  <c r="E3010" i="1"/>
  <c r="B3010" i="1"/>
  <c r="E3009" i="1"/>
  <c r="B3009" i="1"/>
  <c r="E3008" i="1"/>
  <c r="B3008" i="1"/>
  <c r="E3007" i="1"/>
  <c r="B3007" i="1"/>
  <c r="E3006" i="1"/>
  <c r="B3006" i="1"/>
  <c r="E3005" i="1"/>
  <c r="B3005" i="1"/>
  <c r="E3004" i="1"/>
  <c r="B3004" i="1"/>
  <c r="E3003" i="1"/>
  <c r="B3003" i="1"/>
  <c r="E3002" i="1"/>
  <c r="B3002" i="1"/>
  <c r="E3001" i="1"/>
  <c r="B3001" i="1"/>
  <c r="E3000" i="1"/>
  <c r="B3000" i="1"/>
  <c r="E2999" i="1"/>
  <c r="B2999" i="1"/>
  <c r="E2998" i="1"/>
  <c r="B2998" i="1"/>
  <c r="E2997" i="1"/>
  <c r="B2997" i="1"/>
  <c r="E2996" i="1"/>
  <c r="B2996" i="1"/>
  <c r="E2995" i="1"/>
  <c r="B2995" i="1"/>
  <c r="E2994" i="1"/>
  <c r="B2994" i="1"/>
  <c r="E2993" i="1"/>
  <c r="B2993" i="1"/>
  <c r="E2992" i="1"/>
  <c r="B2992" i="1"/>
  <c r="E2991" i="1"/>
  <c r="B2991" i="1"/>
  <c r="E2990" i="1"/>
  <c r="B2990" i="1"/>
  <c r="E2989" i="1"/>
  <c r="B2989" i="1"/>
  <c r="E2988" i="1"/>
  <c r="B2988" i="1"/>
  <c r="E2987" i="1"/>
  <c r="B2987" i="1"/>
  <c r="E2986" i="1"/>
  <c r="B2986" i="1"/>
  <c r="E2985" i="1"/>
  <c r="B2985" i="1"/>
  <c r="E2984" i="1"/>
  <c r="B2984" i="1"/>
  <c r="E2983" i="1"/>
  <c r="B2983" i="1"/>
  <c r="E2982" i="1"/>
  <c r="B2982" i="1"/>
  <c r="E2981" i="1"/>
  <c r="B2981" i="1"/>
  <c r="E2980" i="1"/>
  <c r="B2980" i="1"/>
  <c r="E2979" i="1"/>
  <c r="B2979" i="1"/>
  <c r="E2978" i="1"/>
  <c r="B2978" i="1"/>
  <c r="E2977" i="1"/>
  <c r="B2977" i="1"/>
  <c r="E2976" i="1"/>
  <c r="B2976" i="1"/>
  <c r="E2975" i="1"/>
  <c r="B2975" i="1"/>
  <c r="E2974" i="1"/>
  <c r="B2974" i="1"/>
  <c r="E2973" i="1"/>
  <c r="B2973" i="1"/>
  <c r="E2972" i="1"/>
  <c r="B2972" i="1"/>
  <c r="E2971" i="1"/>
  <c r="B2971" i="1"/>
  <c r="E2970" i="1"/>
  <c r="B2970" i="1"/>
  <c r="E2969" i="1"/>
  <c r="B2969" i="1"/>
  <c r="E2968" i="1"/>
  <c r="B2968" i="1"/>
  <c r="E2967" i="1"/>
  <c r="B2967" i="1"/>
  <c r="E2966" i="1"/>
  <c r="B2966" i="1"/>
  <c r="E2965" i="1"/>
  <c r="B2965" i="1"/>
  <c r="E2964" i="1"/>
  <c r="B2964" i="1"/>
  <c r="E2963" i="1"/>
  <c r="B2963" i="1"/>
  <c r="E2962" i="1"/>
  <c r="B2962" i="1"/>
  <c r="E2961" i="1"/>
  <c r="B2961" i="1"/>
  <c r="E2960" i="1"/>
  <c r="B2960" i="1"/>
  <c r="E2959" i="1"/>
  <c r="B2959" i="1"/>
  <c r="E2958" i="1"/>
  <c r="B2958" i="1"/>
  <c r="E2957" i="1"/>
  <c r="B2957" i="1"/>
  <c r="E2956" i="1"/>
  <c r="B2956" i="1"/>
  <c r="E2955" i="1"/>
  <c r="B2955" i="1"/>
  <c r="E2954" i="1"/>
  <c r="B2954" i="1"/>
  <c r="E2953" i="1"/>
  <c r="B2953" i="1"/>
  <c r="E2952" i="1"/>
  <c r="B2952" i="1"/>
  <c r="E2951" i="1"/>
  <c r="B2951" i="1"/>
  <c r="E2950" i="1"/>
  <c r="B2950" i="1"/>
  <c r="E2949" i="1"/>
  <c r="B2949" i="1"/>
  <c r="E2948" i="1"/>
  <c r="B2948" i="1"/>
  <c r="E2947" i="1"/>
  <c r="B2947" i="1"/>
  <c r="E2946" i="1"/>
  <c r="E2945" i="1"/>
  <c r="B2945" i="1"/>
  <c r="E2944" i="1"/>
  <c r="B2944" i="1"/>
  <c r="E2943" i="1"/>
  <c r="B2943" i="1"/>
  <c r="E2942" i="1"/>
  <c r="B2942" i="1"/>
  <c r="E2941" i="1"/>
  <c r="B2941" i="1"/>
  <c r="E2940" i="1"/>
  <c r="B2940" i="1"/>
  <c r="E2939" i="1"/>
  <c r="B2939" i="1"/>
  <c r="E2938" i="1"/>
  <c r="B2938" i="1"/>
  <c r="E2937" i="1"/>
  <c r="B2937" i="1"/>
  <c r="E2936" i="1"/>
  <c r="B2936" i="1"/>
  <c r="E2935" i="1"/>
  <c r="B2935" i="1"/>
  <c r="E2934" i="1"/>
  <c r="B2934" i="1"/>
  <c r="E2933" i="1"/>
  <c r="B2933" i="1"/>
  <c r="E2932" i="1"/>
  <c r="B2932" i="1"/>
  <c r="E2931" i="1"/>
  <c r="B2931" i="1"/>
  <c r="E2930" i="1"/>
  <c r="B2930" i="1"/>
  <c r="E2929" i="1"/>
  <c r="B2929" i="1"/>
  <c r="E2928" i="1"/>
  <c r="B2928" i="1"/>
  <c r="E2927" i="1"/>
  <c r="B2927" i="1"/>
  <c r="E2926" i="1"/>
  <c r="B2926" i="1"/>
  <c r="E2925" i="1"/>
  <c r="B2925" i="1"/>
  <c r="E2924" i="1"/>
  <c r="B2924" i="1"/>
  <c r="E2923" i="1"/>
  <c r="B2923" i="1"/>
  <c r="E2922" i="1"/>
  <c r="B2922" i="1"/>
  <c r="E2921" i="1"/>
  <c r="B2921" i="1"/>
  <c r="E2920" i="1"/>
  <c r="B2920" i="1"/>
  <c r="E2919" i="1"/>
  <c r="B2919" i="1"/>
  <c r="E2918" i="1"/>
  <c r="B2918" i="1"/>
  <c r="E2917" i="1"/>
  <c r="B2917" i="1"/>
  <c r="E2916" i="1"/>
  <c r="B2916" i="1"/>
  <c r="E2915" i="1"/>
  <c r="B2915" i="1"/>
  <c r="E2914" i="1"/>
  <c r="B2914" i="1"/>
  <c r="E2913" i="1"/>
  <c r="B2913" i="1"/>
  <c r="E2912" i="1"/>
  <c r="B2912" i="1"/>
  <c r="E2911" i="1"/>
  <c r="B2911" i="1"/>
  <c r="E2910" i="1"/>
  <c r="B2910" i="1"/>
  <c r="E2909" i="1"/>
  <c r="B2909" i="1"/>
  <c r="E2908" i="1"/>
  <c r="B2908" i="1"/>
  <c r="E2907" i="1"/>
  <c r="B2907" i="1"/>
  <c r="E2906" i="1"/>
  <c r="B2906" i="1"/>
  <c r="E2905" i="1"/>
  <c r="B2905" i="1"/>
  <c r="E2904" i="1"/>
  <c r="B2904" i="1"/>
  <c r="E2903" i="1"/>
  <c r="B2903" i="1"/>
  <c r="E2902" i="1"/>
  <c r="B2902" i="1"/>
  <c r="E2901" i="1"/>
  <c r="B2901" i="1"/>
  <c r="E2900" i="1"/>
  <c r="B2900" i="1"/>
  <c r="E2899" i="1"/>
  <c r="B2899" i="1"/>
  <c r="E2898" i="1"/>
  <c r="B2898" i="1"/>
  <c r="E2897" i="1"/>
  <c r="B2897" i="1"/>
  <c r="E2896" i="1"/>
  <c r="B2896" i="1"/>
  <c r="E2895" i="1"/>
  <c r="B2895" i="1"/>
  <c r="E2894" i="1"/>
  <c r="B2894" i="1"/>
  <c r="E2893" i="1"/>
  <c r="B2893" i="1"/>
  <c r="E2892" i="1"/>
  <c r="B2892" i="1"/>
  <c r="E2891" i="1"/>
  <c r="B2891" i="1"/>
  <c r="E2890" i="1"/>
  <c r="B2890" i="1"/>
  <c r="E2889" i="1"/>
  <c r="B2889" i="1"/>
  <c r="E2888" i="1"/>
  <c r="B2888" i="1"/>
  <c r="E2887" i="1"/>
  <c r="B2887" i="1"/>
  <c r="E2886" i="1"/>
  <c r="B2886" i="1"/>
  <c r="E2885" i="1"/>
  <c r="B2885" i="1"/>
  <c r="E2884" i="1"/>
  <c r="B2884" i="1"/>
  <c r="E2883" i="1"/>
  <c r="B2883" i="1"/>
  <c r="E2882" i="1"/>
  <c r="B2882" i="1"/>
  <c r="E2881" i="1"/>
  <c r="B2881" i="1"/>
  <c r="E2880" i="1"/>
  <c r="B2880" i="1"/>
  <c r="E2879" i="1"/>
  <c r="B2879" i="1"/>
  <c r="E2878" i="1"/>
  <c r="B2878" i="1"/>
  <c r="E2877" i="1"/>
  <c r="B2877" i="1"/>
  <c r="E2876" i="1"/>
  <c r="B2876" i="1"/>
  <c r="E2875" i="1"/>
  <c r="B2875" i="1"/>
  <c r="E2874" i="1"/>
  <c r="B2874" i="1"/>
  <c r="E2873" i="1"/>
  <c r="B2873" i="1"/>
  <c r="E2872" i="1"/>
  <c r="B2872" i="1"/>
  <c r="E2871" i="1"/>
  <c r="B2871" i="1"/>
  <c r="E2870" i="1"/>
  <c r="B2870" i="1"/>
  <c r="E2869" i="1"/>
  <c r="B2869" i="1"/>
  <c r="E2868" i="1"/>
  <c r="B2868" i="1"/>
  <c r="E2867" i="1"/>
  <c r="B2867" i="1"/>
  <c r="E2866" i="1"/>
  <c r="B2866" i="1"/>
  <c r="E2865" i="1"/>
  <c r="B2865" i="1"/>
  <c r="E2864" i="1"/>
  <c r="B2864" i="1"/>
  <c r="E2863" i="1"/>
  <c r="B2863" i="1"/>
  <c r="E2862" i="1"/>
  <c r="B2862" i="1"/>
  <c r="E2861" i="1"/>
  <c r="B2861" i="1"/>
  <c r="E2860" i="1"/>
  <c r="B2860" i="1"/>
  <c r="E2859" i="1"/>
  <c r="B2859" i="1"/>
  <c r="E2858" i="1"/>
  <c r="B2858" i="1"/>
  <c r="E2857" i="1"/>
  <c r="B2857" i="1"/>
  <c r="E2856" i="1"/>
  <c r="B2856" i="1"/>
  <c r="E2855" i="1"/>
  <c r="B2855" i="1"/>
  <c r="E2854" i="1"/>
  <c r="B2854" i="1"/>
  <c r="E2853" i="1"/>
  <c r="B2853" i="1"/>
  <c r="E2852" i="1"/>
  <c r="B2852" i="1"/>
  <c r="E2851" i="1"/>
  <c r="B2851" i="1"/>
  <c r="E2850" i="1"/>
  <c r="B2850" i="1"/>
  <c r="E2849" i="1"/>
  <c r="B2849" i="1"/>
  <c r="E2848" i="1"/>
  <c r="B2848" i="1"/>
  <c r="E2847" i="1"/>
  <c r="B2847" i="1"/>
  <c r="E2846" i="1"/>
  <c r="B2846" i="1"/>
  <c r="E2845" i="1"/>
  <c r="B2845" i="1"/>
  <c r="E2844" i="1"/>
  <c r="B2844" i="1"/>
  <c r="E2843" i="1"/>
  <c r="B2843" i="1"/>
  <c r="E2842" i="1"/>
  <c r="B2842" i="1"/>
  <c r="E2841" i="1"/>
  <c r="B2841" i="1"/>
  <c r="E2840" i="1"/>
  <c r="B2840" i="1"/>
  <c r="E2839" i="1"/>
  <c r="B2839" i="1"/>
  <c r="E2838" i="1"/>
  <c r="B2838" i="1"/>
  <c r="E2837" i="1"/>
  <c r="B2837" i="1"/>
  <c r="E2836" i="1"/>
  <c r="B2836" i="1"/>
  <c r="E2835" i="1"/>
  <c r="B2835" i="1"/>
  <c r="E2834" i="1"/>
  <c r="B2834" i="1"/>
  <c r="E2833" i="1"/>
  <c r="B2833" i="1"/>
  <c r="E2832" i="1"/>
  <c r="B2832" i="1"/>
  <c r="E2831" i="1"/>
  <c r="B2831" i="1"/>
  <c r="E2830" i="1"/>
  <c r="B2830" i="1"/>
  <c r="E2829" i="1"/>
  <c r="B2829" i="1"/>
  <c r="E2828" i="1"/>
  <c r="B2828" i="1"/>
  <c r="E2827" i="1"/>
  <c r="B2827" i="1"/>
  <c r="E2826" i="1"/>
  <c r="B2826" i="1"/>
  <c r="E2825" i="1"/>
  <c r="B2825" i="1"/>
  <c r="E2824" i="1"/>
  <c r="B2824" i="1"/>
  <c r="E2823" i="1"/>
  <c r="B2823" i="1"/>
  <c r="E2822" i="1"/>
  <c r="B2822" i="1"/>
  <c r="E2821" i="1"/>
  <c r="B2821" i="1"/>
  <c r="E2820" i="1"/>
  <c r="B2820" i="1"/>
  <c r="E2819" i="1"/>
  <c r="B2819" i="1"/>
  <c r="E2818" i="1"/>
  <c r="B2818" i="1"/>
  <c r="E2817" i="1"/>
  <c r="B2817" i="1"/>
  <c r="E2816" i="1"/>
  <c r="B2816" i="1"/>
  <c r="E2815" i="1"/>
  <c r="B2815" i="1"/>
  <c r="E2814" i="1"/>
  <c r="B2814" i="1"/>
  <c r="E2813" i="1"/>
  <c r="B2813" i="1"/>
  <c r="E2812" i="1"/>
  <c r="B2812" i="1"/>
  <c r="E2811" i="1"/>
  <c r="B2811" i="1"/>
  <c r="E2810" i="1"/>
  <c r="B2810" i="1"/>
  <c r="E2809" i="1"/>
  <c r="B2809" i="1"/>
  <c r="E2808" i="1"/>
  <c r="B2808" i="1"/>
  <c r="E2807" i="1"/>
  <c r="B2807" i="1"/>
  <c r="E2806" i="1"/>
  <c r="B2806" i="1"/>
  <c r="E2805" i="1"/>
  <c r="B2805" i="1"/>
  <c r="E2804" i="1"/>
  <c r="B2804" i="1"/>
  <c r="E2803" i="1"/>
  <c r="B2803" i="1"/>
  <c r="E2802" i="1"/>
  <c r="B2802" i="1"/>
  <c r="E2801" i="1"/>
  <c r="B2801" i="1"/>
  <c r="E2800" i="1"/>
  <c r="B2800" i="1"/>
  <c r="E2799" i="1"/>
  <c r="B2799" i="1"/>
  <c r="E2798" i="1"/>
  <c r="B2798" i="1"/>
  <c r="E2797" i="1"/>
  <c r="B2797" i="1"/>
  <c r="E2796" i="1"/>
  <c r="B2796" i="1"/>
  <c r="E2795" i="1"/>
  <c r="B2795" i="1"/>
  <c r="E2794" i="1"/>
  <c r="B2794" i="1"/>
  <c r="E2793" i="1"/>
  <c r="B2793" i="1"/>
  <c r="E2792" i="1"/>
  <c r="B2792" i="1"/>
  <c r="E2791" i="1"/>
  <c r="B2791" i="1"/>
  <c r="E2790" i="1"/>
  <c r="B2790" i="1"/>
  <c r="E2789" i="1"/>
  <c r="B2789" i="1"/>
  <c r="E2788" i="1"/>
  <c r="B2788" i="1"/>
  <c r="E2787" i="1"/>
  <c r="B2787" i="1"/>
  <c r="E2786" i="1"/>
  <c r="B2786" i="1"/>
  <c r="E2785" i="1"/>
  <c r="B2785" i="1"/>
  <c r="E2784" i="1"/>
  <c r="B2784" i="1"/>
  <c r="E2783" i="1"/>
  <c r="B2783" i="1"/>
  <c r="E2782" i="1"/>
  <c r="B2782" i="1"/>
  <c r="E2781" i="1"/>
  <c r="B2781" i="1"/>
  <c r="E2780" i="1"/>
  <c r="B2780" i="1"/>
  <c r="E2779" i="1"/>
  <c r="B2779" i="1"/>
  <c r="E2778" i="1"/>
  <c r="B2778" i="1"/>
  <c r="E2777" i="1"/>
  <c r="B2777" i="1"/>
  <c r="E2776" i="1"/>
  <c r="B2776" i="1"/>
  <c r="E2775" i="1"/>
  <c r="B2775" i="1"/>
  <c r="E2774" i="1"/>
  <c r="B2774" i="1"/>
  <c r="E2773" i="1"/>
  <c r="B2773" i="1"/>
  <c r="E2772" i="1"/>
  <c r="B2772" i="1"/>
  <c r="E2771" i="1"/>
  <c r="B2771" i="1"/>
  <c r="E2770" i="1"/>
  <c r="B2770" i="1"/>
  <c r="E2769" i="1"/>
  <c r="B2769" i="1"/>
  <c r="E2768" i="1"/>
  <c r="B2768" i="1"/>
  <c r="E2767" i="1"/>
  <c r="B2767" i="1"/>
  <c r="E2766" i="1"/>
  <c r="B2766" i="1"/>
  <c r="E2765" i="1"/>
  <c r="B2765" i="1"/>
  <c r="E2764" i="1"/>
  <c r="B2764" i="1"/>
  <c r="E2763" i="1"/>
  <c r="B2763" i="1"/>
  <c r="E2762" i="1"/>
  <c r="B2762" i="1"/>
  <c r="E2761" i="1"/>
  <c r="B2761" i="1"/>
  <c r="E2760" i="1"/>
  <c r="B2760" i="1"/>
  <c r="E2759" i="1"/>
  <c r="B2759" i="1"/>
  <c r="E2758" i="1"/>
  <c r="B2758" i="1"/>
  <c r="E2757" i="1"/>
  <c r="B2757" i="1"/>
  <c r="E2756" i="1"/>
  <c r="B2756" i="1"/>
  <c r="E2755" i="1"/>
  <c r="B2755" i="1"/>
  <c r="E2754" i="1"/>
  <c r="B2754" i="1"/>
  <c r="E2753" i="1"/>
  <c r="B2753" i="1"/>
  <c r="E2752" i="1"/>
  <c r="B2752" i="1"/>
  <c r="E2751" i="1"/>
  <c r="B2751" i="1"/>
  <c r="E2750" i="1"/>
  <c r="B2750" i="1"/>
  <c r="E2749" i="1"/>
  <c r="B2749" i="1"/>
  <c r="E2748" i="1"/>
  <c r="B2748" i="1"/>
  <c r="E2747" i="1"/>
  <c r="B2747" i="1"/>
  <c r="E2746" i="1"/>
  <c r="B2746" i="1"/>
  <c r="E2745" i="1"/>
  <c r="B2745" i="1"/>
  <c r="E2744" i="1"/>
  <c r="B2744" i="1"/>
  <c r="E2743" i="1"/>
  <c r="B2743" i="1"/>
  <c r="E2742" i="1"/>
  <c r="B2742" i="1"/>
  <c r="E2741" i="1"/>
  <c r="B2741" i="1"/>
  <c r="E2740" i="1"/>
  <c r="B2740" i="1"/>
  <c r="E2739" i="1"/>
  <c r="B2739" i="1"/>
  <c r="E2738" i="1"/>
  <c r="B2738" i="1"/>
  <c r="E2737" i="1"/>
  <c r="B2737" i="1"/>
  <c r="E2736" i="1"/>
  <c r="B2736" i="1"/>
  <c r="E2735" i="1"/>
  <c r="B2735" i="1"/>
  <c r="E2734" i="1"/>
  <c r="B2734" i="1"/>
  <c r="E2733" i="1"/>
  <c r="B2733" i="1"/>
  <c r="E2732" i="1"/>
  <c r="B2732" i="1"/>
  <c r="E2731" i="1"/>
  <c r="B2731" i="1"/>
  <c r="E2730" i="1"/>
  <c r="B2730" i="1"/>
  <c r="E2729" i="1"/>
  <c r="B2729" i="1"/>
  <c r="E2728" i="1"/>
  <c r="B2728" i="1"/>
  <c r="E2727" i="1"/>
  <c r="B2727" i="1"/>
  <c r="E2726" i="1"/>
  <c r="B2726" i="1"/>
  <c r="E2725" i="1"/>
  <c r="B2725" i="1"/>
  <c r="E2724" i="1"/>
  <c r="B2724" i="1"/>
  <c r="E2723" i="1"/>
  <c r="B2723" i="1"/>
  <c r="E2722" i="1"/>
  <c r="B2722" i="1"/>
  <c r="E2721" i="1"/>
  <c r="B2721" i="1"/>
  <c r="E2720" i="1"/>
  <c r="B2720" i="1"/>
  <c r="E2719" i="1"/>
  <c r="B2719" i="1"/>
  <c r="E2718" i="1"/>
  <c r="B2718" i="1"/>
  <c r="E2717" i="1"/>
  <c r="B2717" i="1"/>
  <c r="E2716" i="1"/>
  <c r="B2716" i="1"/>
  <c r="E2715" i="1"/>
  <c r="B2715" i="1"/>
  <c r="E2714" i="1"/>
  <c r="B2714" i="1"/>
  <c r="E2713" i="1"/>
  <c r="B2713" i="1"/>
  <c r="E2712" i="1"/>
  <c r="B2712" i="1"/>
  <c r="E2711" i="1"/>
  <c r="B2711" i="1"/>
  <c r="E2710" i="1"/>
  <c r="B2710" i="1"/>
  <c r="E2709" i="1"/>
  <c r="B2709" i="1"/>
  <c r="E2708" i="1"/>
  <c r="B2708" i="1"/>
  <c r="E2707" i="1"/>
  <c r="B2707" i="1"/>
  <c r="E2706" i="1"/>
  <c r="B2706" i="1"/>
  <c r="E2705" i="1"/>
  <c r="B2705" i="1"/>
  <c r="E2704" i="1"/>
  <c r="B2704" i="1"/>
  <c r="E2703" i="1"/>
  <c r="B2703" i="1"/>
  <c r="E2702" i="1"/>
  <c r="B2702" i="1"/>
  <c r="E2701" i="1"/>
  <c r="B2701" i="1"/>
  <c r="E2700" i="1"/>
  <c r="B2700" i="1"/>
  <c r="E2699" i="1"/>
  <c r="B2699" i="1"/>
  <c r="E2698" i="1"/>
  <c r="B2698" i="1"/>
  <c r="E2697" i="1"/>
  <c r="B2697" i="1"/>
  <c r="E2696" i="1"/>
  <c r="B2696" i="1"/>
  <c r="E2695" i="1"/>
  <c r="B2695" i="1"/>
  <c r="E2694" i="1"/>
  <c r="B2694" i="1"/>
  <c r="E2693" i="1"/>
  <c r="B2693" i="1"/>
  <c r="E2692" i="1"/>
  <c r="B2692" i="1"/>
  <c r="E2691" i="1"/>
  <c r="B2691" i="1"/>
  <c r="E2690" i="1"/>
  <c r="B2690" i="1"/>
  <c r="E2689" i="1"/>
  <c r="B2689" i="1"/>
  <c r="E2688" i="1"/>
  <c r="B2688" i="1"/>
  <c r="E2687" i="1"/>
  <c r="B2687" i="1"/>
  <c r="E2686" i="1"/>
  <c r="B2686" i="1"/>
  <c r="E2685" i="1"/>
  <c r="B2685" i="1"/>
  <c r="E2684" i="1"/>
  <c r="B2684" i="1"/>
  <c r="E2683" i="1"/>
  <c r="B2683" i="1"/>
  <c r="E2682" i="1"/>
  <c r="B2682" i="1"/>
  <c r="E2681" i="1"/>
  <c r="B2681" i="1"/>
  <c r="E2680" i="1"/>
  <c r="B2680" i="1"/>
  <c r="E2679" i="1"/>
  <c r="B2679" i="1"/>
  <c r="E2678" i="1"/>
  <c r="B2678" i="1"/>
  <c r="E2677" i="1"/>
  <c r="B2677" i="1"/>
  <c r="E2676" i="1"/>
  <c r="B2676" i="1"/>
  <c r="E2675" i="1"/>
  <c r="B2675" i="1"/>
  <c r="E2674" i="1"/>
  <c r="B2674" i="1"/>
  <c r="E2673" i="1"/>
  <c r="B2673" i="1"/>
  <c r="E2672" i="1"/>
  <c r="B2672" i="1"/>
  <c r="E2671" i="1"/>
  <c r="B2671" i="1"/>
  <c r="E2670" i="1"/>
  <c r="B2670" i="1"/>
  <c r="E2669" i="1"/>
  <c r="B2669" i="1"/>
  <c r="E2668" i="1"/>
  <c r="B2668" i="1"/>
  <c r="E2667" i="1"/>
  <c r="B2667" i="1"/>
  <c r="E2666" i="1"/>
  <c r="B2666" i="1"/>
  <c r="E2665" i="1"/>
  <c r="B2665" i="1"/>
  <c r="E2664" i="1"/>
  <c r="B2664" i="1"/>
  <c r="E2663" i="1"/>
  <c r="B2663" i="1"/>
  <c r="E2662" i="1"/>
  <c r="B2662" i="1"/>
  <c r="E2661" i="1"/>
  <c r="B2661" i="1"/>
  <c r="E2660" i="1"/>
  <c r="B2660" i="1"/>
  <c r="E2659" i="1"/>
  <c r="B2659" i="1"/>
  <c r="E2658" i="1"/>
  <c r="B2658" i="1"/>
  <c r="E2657" i="1"/>
  <c r="B2657" i="1"/>
  <c r="E2656" i="1"/>
  <c r="B2656" i="1"/>
  <c r="E2655" i="1"/>
  <c r="B2655" i="1"/>
  <c r="E2654" i="1"/>
  <c r="B2654" i="1"/>
  <c r="E2653" i="1"/>
  <c r="B2653" i="1"/>
  <c r="E2652" i="1"/>
  <c r="B2652" i="1"/>
  <c r="E2651" i="1"/>
  <c r="B2651" i="1"/>
  <c r="E2650" i="1"/>
  <c r="B2650" i="1"/>
  <c r="E2649" i="1"/>
  <c r="B2649" i="1"/>
  <c r="E2648" i="1"/>
  <c r="B2648" i="1"/>
  <c r="E2647" i="1"/>
  <c r="B2647" i="1"/>
  <c r="E2646" i="1"/>
  <c r="B2646" i="1"/>
  <c r="E2645" i="1"/>
  <c r="B2645" i="1"/>
  <c r="E2644" i="1"/>
  <c r="B2644" i="1"/>
  <c r="E2643" i="1"/>
  <c r="B2643" i="1"/>
  <c r="E2642" i="1"/>
  <c r="B2642" i="1"/>
  <c r="E2641" i="1"/>
  <c r="B2641" i="1"/>
  <c r="E2640" i="1"/>
  <c r="B2640" i="1"/>
  <c r="E2639" i="1"/>
  <c r="B2639" i="1"/>
  <c r="E2638" i="1"/>
  <c r="B2638" i="1"/>
  <c r="E2637" i="1"/>
  <c r="B2637" i="1"/>
  <c r="E2636" i="1"/>
  <c r="B2636" i="1"/>
  <c r="E2635" i="1"/>
  <c r="B2635" i="1"/>
  <c r="E2634" i="1"/>
  <c r="B2634" i="1"/>
  <c r="E2633" i="1"/>
  <c r="B2633" i="1"/>
  <c r="E2632" i="1"/>
  <c r="B2632" i="1"/>
  <c r="E2631" i="1"/>
  <c r="B2631" i="1"/>
  <c r="E2630" i="1"/>
  <c r="B2630" i="1"/>
  <c r="E2629" i="1"/>
  <c r="B2629" i="1"/>
  <c r="E2628" i="1"/>
  <c r="B2628" i="1"/>
  <c r="E2627" i="1"/>
  <c r="B2627" i="1"/>
  <c r="E2626" i="1"/>
  <c r="B2626" i="1"/>
  <c r="E2625" i="1"/>
  <c r="B2625" i="1"/>
  <c r="E2624" i="1"/>
  <c r="B2624" i="1"/>
  <c r="E2623" i="1"/>
  <c r="B2623" i="1"/>
  <c r="E2622" i="1"/>
  <c r="B2622" i="1"/>
  <c r="E2621" i="1"/>
  <c r="B2621" i="1"/>
  <c r="E2620" i="1"/>
  <c r="B2620" i="1"/>
  <c r="E2619" i="1"/>
  <c r="B2619" i="1"/>
  <c r="E2618" i="1"/>
  <c r="B2618" i="1"/>
  <c r="E2617" i="1"/>
  <c r="B2617" i="1"/>
  <c r="E2616" i="1"/>
  <c r="B2616" i="1"/>
  <c r="E2615" i="1"/>
  <c r="B2615" i="1"/>
  <c r="E2614" i="1"/>
  <c r="B2614" i="1"/>
  <c r="E2613" i="1"/>
  <c r="B2613" i="1"/>
  <c r="E2612" i="1"/>
  <c r="B2612" i="1"/>
  <c r="E2611" i="1"/>
  <c r="B2611" i="1"/>
  <c r="E2610" i="1"/>
  <c r="B2610" i="1"/>
  <c r="E2609" i="1"/>
  <c r="B2609" i="1"/>
  <c r="E2608" i="1"/>
  <c r="B2608" i="1"/>
  <c r="E2607" i="1"/>
  <c r="B2607" i="1"/>
  <c r="E2606" i="1"/>
  <c r="B2606" i="1"/>
  <c r="E2605" i="1"/>
  <c r="B2605" i="1"/>
  <c r="E2604" i="1"/>
  <c r="B2604" i="1"/>
  <c r="E2603" i="1"/>
  <c r="B2603" i="1"/>
  <c r="E2602" i="1"/>
  <c r="B2602" i="1"/>
  <c r="E2601" i="1"/>
  <c r="B2601" i="1"/>
  <c r="E2600" i="1"/>
  <c r="B2600" i="1"/>
  <c r="E2599" i="1"/>
  <c r="B2599" i="1"/>
  <c r="E2598" i="1"/>
  <c r="B2598" i="1"/>
  <c r="E2597" i="1"/>
  <c r="B2597" i="1"/>
  <c r="E2596" i="1"/>
  <c r="B2596" i="1"/>
  <c r="E2595" i="1"/>
  <c r="B2595" i="1"/>
  <c r="E2594" i="1"/>
  <c r="B2594" i="1"/>
  <c r="E2593" i="1"/>
  <c r="B2593" i="1"/>
  <c r="E2592" i="1"/>
  <c r="B2592" i="1"/>
  <c r="E2591" i="1"/>
  <c r="B2591" i="1"/>
  <c r="E2590" i="1"/>
  <c r="B2590" i="1"/>
  <c r="E2589" i="1"/>
  <c r="B2589" i="1"/>
  <c r="E2588" i="1"/>
  <c r="B2588" i="1"/>
  <c r="E2587" i="1"/>
  <c r="B2587" i="1"/>
  <c r="E2586" i="1"/>
  <c r="B2586" i="1"/>
  <c r="E2585" i="1"/>
  <c r="B2585" i="1"/>
  <c r="E2584" i="1"/>
  <c r="B2584" i="1"/>
  <c r="E2583" i="1"/>
  <c r="B2583" i="1"/>
  <c r="E2582" i="1"/>
  <c r="B2582" i="1"/>
  <c r="E2581" i="1"/>
  <c r="B2581" i="1"/>
  <c r="E2580" i="1"/>
  <c r="B2580" i="1"/>
  <c r="E2579" i="1"/>
  <c r="B2579" i="1"/>
  <c r="E2578" i="1"/>
  <c r="B2578" i="1"/>
  <c r="E2577" i="1"/>
  <c r="B2577" i="1"/>
  <c r="E2576" i="1"/>
  <c r="B2576" i="1"/>
  <c r="E2575" i="1"/>
  <c r="B2575" i="1"/>
  <c r="E2574" i="1"/>
  <c r="B2574" i="1"/>
  <c r="E2573" i="1"/>
  <c r="B2573" i="1"/>
  <c r="E2572" i="1"/>
  <c r="B2572" i="1"/>
  <c r="E2571" i="1"/>
  <c r="B2571" i="1"/>
  <c r="E2570" i="1"/>
  <c r="B2570" i="1"/>
  <c r="E2569" i="1"/>
  <c r="B2569" i="1"/>
  <c r="E2568" i="1"/>
  <c r="B2568" i="1"/>
  <c r="E2567" i="1"/>
  <c r="B2567" i="1"/>
  <c r="E2566" i="1"/>
  <c r="B2566" i="1"/>
  <c r="E2565" i="1"/>
  <c r="B2565" i="1"/>
  <c r="E2564" i="1"/>
  <c r="B2564" i="1"/>
  <c r="E2563" i="1"/>
  <c r="B2563" i="1"/>
  <c r="E2562" i="1"/>
  <c r="B2562" i="1"/>
  <c r="E2561" i="1"/>
  <c r="B2561" i="1"/>
  <c r="E2560" i="1"/>
  <c r="B2560" i="1"/>
  <c r="E2559" i="1"/>
  <c r="B2559" i="1"/>
  <c r="E2558" i="1"/>
  <c r="B2558" i="1"/>
  <c r="E2557" i="1"/>
  <c r="B2557" i="1"/>
  <c r="E2556" i="1"/>
  <c r="B2556" i="1"/>
  <c r="E2555" i="1"/>
  <c r="B2555" i="1"/>
  <c r="E2554" i="1"/>
  <c r="B2554" i="1"/>
  <c r="E2553" i="1"/>
  <c r="B2553" i="1"/>
  <c r="E2552" i="1"/>
  <c r="B2552" i="1"/>
  <c r="E2551" i="1"/>
  <c r="B2551" i="1"/>
  <c r="E2550" i="1"/>
  <c r="B2550" i="1"/>
  <c r="E2549" i="1"/>
  <c r="B2549" i="1"/>
  <c r="E2548" i="1"/>
  <c r="B2548" i="1"/>
  <c r="E2547" i="1"/>
  <c r="B2547" i="1"/>
  <c r="E2546" i="1"/>
  <c r="B2546" i="1"/>
  <c r="E2545" i="1"/>
  <c r="B2545" i="1"/>
  <c r="E2544" i="1"/>
  <c r="B2544" i="1"/>
  <c r="E2543" i="1"/>
  <c r="B2543" i="1"/>
  <c r="E2542" i="1"/>
  <c r="B2542" i="1"/>
  <c r="E2541" i="1"/>
  <c r="B2541" i="1"/>
  <c r="E2540" i="1"/>
  <c r="B2540" i="1"/>
  <c r="E2539" i="1"/>
  <c r="B2539" i="1"/>
  <c r="E2538" i="1"/>
  <c r="B2538" i="1"/>
  <c r="E2537" i="1"/>
  <c r="B2537" i="1"/>
  <c r="E2536" i="1"/>
  <c r="B2536" i="1"/>
  <c r="E2535" i="1"/>
  <c r="B2535" i="1"/>
  <c r="E2534" i="1"/>
  <c r="B2534" i="1"/>
  <c r="E2533" i="1"/>
  <c r="B2533" i="1"/>
  <c r="E2532" i="1"/>
  <c r="B2532" i="1"/>
  <c r="E2531" i="1"/>
  <c r="B2531" i="1"/>
  <c r="E2530" i="1"/>
  <c r="B2530" i="1"/>
  <c r="E2529" i="1"/>
  <c r="B2529" i="1"/>
  <c r="E2528" i="1"/>
  <c r="B2528" i="1"/>
  <c r="E2527" i="1"/>
  <c r="B2527" i="1"/>
  <c r="E2526" i="1"/>
  <c r="B2526" i="1"/>
  <c r="E2525" i="1"/>
  <c r="B2525" i="1"/>
  <c r="E2524" i="1"/>
  <c r="B2524" i="1"/>
  <c r="E2523" i="1"/>
  <c r="B2523" i="1"/>
  <c r="E2522" i="1"/>
  <c r="B2522" i="1"/>
  <c r="E2521" i="1"/>
  <c r="B2521" i="1"/>
  <c r="E2520" i="1"/>
  <c r="B2520" i="1"/>
  <c r="E2519" i="1"/>
  <c r="B2519" i="1"/>
  <c r="E2518" i="1"/>
  <c r="B2518" i="1"/>
  <c r="E2517" i="1"/>
  <c r="B2517" i="1"/>
  <c r="E2516" i="1"/>
  <c r="B2516" i="1"/>
  <c r="E2515" i="1"/>
  <c r="B2515" i="1"/>
  <c r="E2514" i="1"/>
  <c r="B2514" i="1"/>
  <c r="E2513" i="1"/>
  <c r="B2513" i="1"/>
  <c r="E2512" i="1"/>
  <c r="B2512" i="1"/>
  <c r="E2511" i="1"/>
  <c r="B2511" i="1"/>
  <c r="E2510" i="1"/>
  <c r="B2510" i="1"/>
  <c r="E2509" i="1"/>
  <c r="B2509" i="1"/>
  <c r="E2508" i="1"/>
  <c r="B2508" i="1"/>
  <c r="E2507" i="1"/>
  <c r="B2507" i="1"/>
  <c r="E2506" i="1"/>
  <c r="B2506" i="1"/>
  <c r="E2505" i="1"/>
  <c r="B2505" i="1"/>
  <c r="E2504" i="1"/>
  <c r="B2504" i="1"/>
  <c r="E2503" i="1"/>
  <c r="B2503" i="1"/>
  <c r="E2502" i="1"/>
  <c r="B2502" i="1"/>
  <c r="E2501" i="1"/>
  <c r="B2501" i="1"/>
  <c r="E2500" i="1"/>
  <c r="B2500" i="1"/>
  <c r="E2499" i="1"/>
  <c r="B2499" i="1"/>
  <c r="E2498" i="1"/>
  <c r="B2498" i="1"/>
  <c r="E2497" i="1"/>
  <c r="B2497" i="1"/>
  <c r="E2496" i="1"/>
  <c r="B2496" i="1"/>
  <c r="E2495" i="1"/>
  <c r="B2495" i="1"/>
  <c r="E2494" i="1"/>
  <c r="B2494" i="1"/>
  <c r="E2493" i="1"/>
  <c r="B2493" i="1"/>
  <c r="E2492" i="1"/>
  <c r="B2492" i="1"/>
  <c r="E2491" i="1"/>
  <c r="B2491" i="1"/>
  <c r="E2490" i="1"/>
  <c r="B2490" i="1"/>
  <c r="E2489" i="1"/>
  <c r="B2489" i="1"/>
  <c r="E2488" i="1"/>
  <c r="B2488" i="1"/>
  <c r="E2487" i="1"/>
  <c r="B2487" i="1"/>
  <c r="E2486" i="1"/>
  <c r="B2486" i="1"/>
  <c r="E2485" i="1"/>
  <c r="B2485" i="1"/>
  <c r="E2484" i="1"/>
  <c r="B2484" i="1"/>
  <c r="E2483" i="1"/>
  <c r="B2483" i="1"/>
  <c r="E2482" i="1"/>
  <c r="B2482" i="1"/>
  <c r="E2481" i="1"/>
  <c r="B2481" i="1"/>
  <c r="E2480" i="1"/>
  <c r="B2480" i="1"/>
  <c r="E2479" i="1"/>
  <c r="B2479" i="1"/>
  <c r="E2478" i="1"/>
  <c r="B2478" i="1"/>
  <c r="E2477" i="1"/>
  <c r="B2477" i="1"/>
  <c r="E2476" i="1"/>
  <c r="B2476" i="1"/>
  <c r="E2475" i="1"/>
  <c r="B2475" i="1"/>
  <c r="E2474" i="1"/>
  <c r="B2474" i="1"/>
  <c r="E2473" i="1"/>
  <c r="B2473" i="1"/>
  <c r="E2472" i="1"/>
  <c r="B2472" i="1"/>
  <c r="B2463" i="1" l="1"/>
  <c r="E2471" i="1" l="1"/>
  <c r="B2471" i="1"/>
  <c r="E2470" i="1"/>
  <c r="B2470" i="1"/>
  <c r="E2469" i="1"/>
  <c r="B2469" i="1"/>
  <c r="E2468" i="1"/>
  <c r="B2468" i="1"/>
  <c r="E2467" i="1"/>
  <c r="B2467" i="1"/>
  <c r="E2466" i="1"/>
  <c r="B2466" i="1"/>
  <c r="E2465" i="1"/>
  <c r="B2465" i="1"/>
  <c r="E2464" i="1"/>
  <c r="B2464" i="1"/>
  <c r="E2463" i="1"/>
  <c r="E2462" i="1"/>
  <c r="B2462" i="1"/>
  <c r="E2461" i="1"/>
  <c r="B2461" i="1"/>
  <c r="E2460" i="1"/>
  <c r="B2460" i="1"/>
  <c r="E2459" i="1"/>
  <c r="B2459" i="1"/>
  <c r="E2458" i="1"/>
  <c r="B2458" i="1"/>
  <c r="E2457" i="1"/>
  <c r="B2457" i="1"/>
  <c r="E2456" i="1"/>
  <c r="B2456" i="1"/>
  <c r="E2455" i="1"/>
  <c r="B2455" i="1"/>
  <c r="E2454" i="1"/>
  <c r="B2454" i="1"/>
  <c r="E2453" i="1"/>
  <c r="B2453" i="1"/>
  <c r="E2452" i="1"/>
  <c r="B2452" i="1"/>
  <c r="E2451" i="1"/>
  <c r="B2451" i="1"/>
  <c r="E2450" i="1"/>
  <c r="B2450" i="1"/>
  <c r="E2449" i="1"/>
  <c r="B2449" i="1"/>
  <c r="E2448" i="1"/>
  <c r="B2448" i="1"/>
  <c r="E2447" i="1"/>
  <c r="B2447" i="1"/>
  <c r="E2446" i="1"/>
  <c r="B2446" i="1"/>
  <c r="E2445" i="1"/>
  <c r="B2445" i="1"/>
  <c r="E2444" i="1"/>
  <c r="B2444" i="1"/>
  <c r="E2443" i="1"/>
  <c r="B2443" i="1"/>
  <c r="E2442" i="1"/>
  <c r="B2442" i="1"/>
  <c r="E2441" i="1"/>
  <c r="B2441" i="1"/>
  <c r="E2440" i="1"/>
  <c r="B2440" i="1"/>
  <c r="E2439" i="1"/>
  <c r="B2439" i="1"/>
  <c r="E2438" i="1"/>
  <c r="B2438" i="1"/>
  <c r="E2437" i="1"/>
  <c r="B2437" i="1"/>
  <c r="E2436" i="1"/>
  <c r="B2436" i="1"/>
  <c r="E2435" i="1"/>
  <c r="B2435" i="1"/>
  <c r="E2434" i="1"/>
  <c r="B2434" i="1"/>
  <c r="E2433" i="1"/>
  <c r="B2433" i="1"/>
  <c r="E2432" i="1"/>
  <c r="B2432" i="1"/>
  <c r="E2431" i="1"/>
  <c r="B2431" i="1"/>
  <c r="E2430" i="1"/>
  <c r="B2430" i="1"/>
  <c r="E2429" i="1"/>
  <c r="B2429" i="1"/>
  <c r="E2428" i="1"/>
  <c r="B2428" i="1"/>
  <c r="E2427" i="1"/>
  <c r="B2427" i="1"/>
  <c r="E2426" i="1"/>
  <c r="B2426" i="1"/>
  <c r="E2425" i="1"/>
  <c r="B2425" i="1"/>
  <c r="E2424" i="1"/>
  <c r="B2424" i="1"/>
  <c r="E2423" i="1"/>
  <c r="B2423" i="1"/>
  <c r="E2422" i="1"/>
  <c r="B2422" i="1"/>
  <c r="E2421" i="1"/>
  <c r="B2421" i="1"/>
  <c r="E2420" i="1"/>
  <c r="B2420" i="1"/>
  <c r="E2419" i="1"/>
  <c r="B2419" i="1"/>
  <c r="E2418" i="1"/>
  <c r="B2418" i="1"/>
  <c r="E2417" i="1"/>
  <c r="B2417" i="1"/>
  <c r="E2416" i="1"/>
  <c r="B2416" i="1"/>
  <c r="E2415" i="1"/>
  <c r="B2415" i="1"/>
  <c r="E2414" i="1"/>
  <c r="B2414" i="1"/>
  <c r="E2413" i="1"/>
  <c r="B2413" i="1"/>
  <c r="E2412" i="1"/>
  <c r="B2412" i="1"/>
  <c r="E2411" i="1"/>
  <c r="B2411" i="1"/>
  <c r="E2410" i="1"/>
  <c r="B2410" i="1"/>
  <c r="E2409" i="1"/>
  <c r="B2409" i="1"/>
  <c r="E2408" i="1"/>
  <c r="B2408" i="1"/>
  <c r="E2407" i="1"/>
  <c r="B2407" i="1"/>
  <c r="E2406" i="1"/>
  <c r="B2406" i="1"/>
  <c r="E2405" i="1"/>
  <c r="B2405" i="1"/>
  <c r="E2404" i="1"/>
  <c r="B2404" i="1"/>
  <c r="E2403" i="1"/>
  <c r="B2403" i="1"/>
  <c r="E2402" i="1"/>
  <c r="B2402" i="1"/>
  <c r="E2401" i="1"/>
  <c r="B2401" i="1"/>
  <c r="E2400" i="1"/>
  <c r="B2400" i="1"/>
  <c r="E2399" i="1"/>
  <c r="B2399" i="1"/>
  <c r="E2398" i="1"/>
  <c r="B2398" i="1"/>
  <c r="E2397" i="1"/>
  <c r="B2397" i="1"/>
  <c r="E2396" i="1"/>
  <c r="B2396" i="1"/>
  <c r="E2395" i="1"/>
  <c r="B2395" i="1"/>
  <c r="E2394" i="1"/>
  <c r="B2394" i="1"/>
  <c r="E2393" i="1"/>
  <c r="B2393" i="1"/>
  <c r="E2392" i="1"/>
  <c r="B2392" i="1"/>
  <c r="E2391" i="1"/>
  <c r="B2391" i="1"/>
  <c r="E2390" i="1"/>
  <c r="B2390" i="1"/>
  <c r="E2389" i="1"/>
  <c r="B2389" i="1"/>
  <c r="E2388" i="1"/>
  <c r="B2388" i="1"/>
  <c r="E2387" i="1"/>
  <c r="B2387" i="1"/>
  <c r="E2386" i="1"/>
  <c r="B2386" i="1"/>
  <c r="E2385" i="1"/>
  <c r="B2385" i="1"/>
  <c r="E2384" i="1"/>
  <c r="B2384" i="1"/>
  <c r="E2383" i="1"/>
  <c r="B2383" i="1"/>
  <c r="E2382" i="1"/>
  <c r="B2382" i="1"/>
  <c r="E2381" i="1"/>
  <c r="B2381" i="1"/>
  <c r="E2380" i="1"/>
  <c r="B2380" i="1"/>
  <c r="E2379" i="1"/>
  <c r="B2379" i="1"/>
  <c r="E2378" i="1"/>
  <c r="B2378" i="1"/>
  <c r="E2377" i="1"/>
  <c r="B2377" i="1"/>
  <c r="E2376" i="1"/>
  <c r="B2376" i="1"/>
  <c r="E2375" i="1"/>
  <c r="B2375" i="1"/>
  <c r="E2374" i="1"/>
  <c r="B2374" i="1"/>
  <c r="E2373" i="1"/>
  <c r="B2373" i="1"/>
  <c r="E2372" i="1"/>
  <c r="B2372" i="1"/>
  <c r="E2371" i="1"/>
  <c r="B2371" i="1"/>
  <c r="E2370" i="1"/>
  <c r="B2370" i="1"/>
  <c r="E2369" i="1"/>
  <c r="B2369" i="1"/>
  <c r="E2368" i="1"/>
  <c r="B2368" i="1"/>
  <c r="E2367" i="1"/>
  <c r="B2367" i="1"/>
  <c r="E2366" i="1"/>
  <c r="B2366" i="1"/>
  <c r="E2365" i="1"/>
  <c r="B2365" i="1"/>
  <c r="E2364" i="1"/>
  <c r="B2364" i="1"/>
  <c r="E2363" i="1"/>
  <c r="B2363" i="1"/>
  <c r="E2362" i="1"/>
  <c r="B2362" i="1"/>
  <c r="E2361" i="1"/>
  <c r="B2361" i="1"/>
  <c r="E2360" i="1"/>
  <c r="B2360" i="1"/>
  <c r="E2359" i="1"/>
  <c r="B2359" i="1"/>
  <c r="E2358" i="1"/>
  <c r="B2358" i="1"/>
  <c r="E2357" i="1"/>
  <c r="B2357" i="1"/>
  <c r="E2356" i="1"/>
  <c r="B2356" i="1"/>
  <c r="E2355" i="1"/>
  <c r="B2355" i="1"/>
  <c r="E2354" i="1"/>
  <c r="B2354" i="1"/>
  <c r="E2353" i="1"/>
  <c r="B2353" i="1"/>
  <c r="E2352" i="1"/>
  <c r="B2352" i="1"/>
  <c r="E2351" i="1"/>
  <c r="B2351" i="1"/>
  <c r="E2350" i="1"/>
  <c r="B2350" i="1"/>
  <c r="E2349" i="1"/>
  <c r="B2349" i="1"/>
  <c r="E2348" i="1"/>
  <c r="B2348" i="1"/>
  <c r="E2347" i="1"/>
  <c r="B2347" i="1"/>
  <c r="E2346" i="1"/>
  <c r="B2346" i="1"/>
  <c r="E2345" i="1"/>
  <c r="B2345" i="1"/>
  <c r="E2344" i="1"/>
  <c r="B2344" i="1"/>
  <c r="E2343" i="1"/>
  <c r="B2343" i="1"/>
  <c r="E2342" i="1"/>
  <c r="B2342" i="1"/>
  <c r="E2341" i="1"/>
  <c r="B2341" i="1"/>
  <c r="E2340" i="1"/>
  <c r="B2340" i="1"/>
  <c r="E2339" i="1"/>
  <c r="B2339" i="1"/>
  <c r="E2338" i="1"/>
  <c r="B2338" i="1"/>
  <c r="E2337" i="1"/>
  <c r="B2337" i="1"/>
  <c r="E2336" i="1"/>
  <c r="B2336" i="1"/>
  <c r="E2335" i="1"/>
  <c r="B2335" i="1"/>
  <c r="E2334" i="1"/>
  <c r="B2334" i="1"/>
  <c r="E2333" i="1"/>
  <c r="B2333" i="1"/>
  <c r="E2332" i="1"/>
  <c r="B2332" i="1"/>
  <c r="E2331" i="1"/>
  <c r="B2331" i="1"/>
  <c r="E2330" i="1"/>
  <c r="B2330" i="1"/>
  <c r="E2329" i="1"/>
  <c r="B2329" i="1"/>
  <c r="E2328" i="1"/>
  <c r="B2328" i="1"/>
  <c r="E2327" i="1"/>
  <c r="B2327" i="1"/>
  <c r="E2326" i="1"/>
  <c r="B2326" i="1"/>
  <c r="E2325" i="1"/>
  <c r="B2325" i="1"/>
  <c r="E2324" i="1"/>
  <c r="B2324" i="1"/>
  <c r="E2323" i="1"/>
  <c r="B2323" i="1"/>
  <c r="E2322" i="1"/>
  <c r="B2322" i="1"/>
  <c r="E2321" i="1"/>
  <c r="B2321" i="1"/>
  <c r="E2320" i="1"/>
  <c r="B2320" i="1"/>
  <c r="E2319" i="1"/>
  <c r="B2319" i="1"/>
  <c r="E2318" i="1"/>
  <c r="B2318" i="1"/>
  <c r="E2317" i="1"/>
  <c r="B2317" i="1"/>
  <c r="E2316" i="1"/>
  <c r="B2316" i="1"/>
  <c r="E2315" i="1"/>
  <c r="B2315" i="1"/>
  <c r="E2314" i="1"/>
  <c r="B2314" i="1"/>
  <c r="E2313" i="1"/>
  <c r="B2313" i="1"/>
  <c r="E2312" i="1"/>
  <c r="B2312" i="1"/>
  <c r="E2311" i="1"/>
  <c r="B2311" i="1"/>
  <c r="E2310" i="1"/>
  <c r="B2310" i="1"/>
  <c r="B1699" i="1" l="1"/>
  <c r="E2309" i="1"/>
  <c r="B2309" i="1"/>
  <c r="E2308" i="1"/>
  <c r="B2308" i="1"/>
  <c r="E2307" i="1"/>
  <c r="B2307" i="1"/>
  <c r="E2306" i="1"/>
  <c r="B2306" i="1"/>
  <c r="E2305" i="1"/>
  <c r="B2305" i="1"/>
  <c r="E2304" i="1"/>
  <c r="B2304" i="1"/>
  <c r="E2303" i="1"/>
  <c r="B2303" i="1"/>
  <c r="E2302" i="1"/>
  <c r="B2302" i="1"/>
  <c r="E2301" i="1"/>
  <c r="B2301" i="1"/>
  <c r="E2300" i="1"/>
  <c r="B2300" i="1"/>
  <c r="E2299" i="1"/>
  <c r="B2299" i="1"/>
  <c r="E2298" i="1"/>
  <c r="B2298" i="1"/>
  <c r="E2297" i="1"/>
  <c r="B2297" i="1"/>
  <c r="E2296" i="1"/>
  <c r="B2296" i="1"/>
  <c r="E2295" i="1"/>
  <c r="B2295" i="1"/>
  <c r="E2294" i="1"/>
  <c r="B2294" i="1"/>
  <c r="E2293" i="1"/>
  <c r="B2293" i="1"/>
  <c r="E2292" i="1"/>
  <c r="B2292" i="1"/>
  <c r="E2291" i="1"/>
  <c r="B2291" i="1"/>
  <c r="E2290" i="1"/>
  <c r="B2290" i="1"/>
  <c r="E2289" i="1"/>
  <c r="B2289" i="1"/>
  <c r="E2288" i="1"/>
  <c r="B2288" i="1"/>
  <c r="E2287" i="1"/>
  <c r="B2287" i="1"/>
  <c r="E2286" i="1"/>
  <c r="B2286" i="1"/>
  <c r="E2285" i="1"/>
  <c r="B2285" i="1"/>
  <c r="E2284" i="1"/>
  <c r="B2284" i="1"/>
  <c r="E2283" i="1"/>
  <c r="B2283" i="1"/>
  <c r="E2282" i="1"/>
  <c r="B2282" i="1"/>
  <c r="E2281" i="1"/>
  <c r="B2281" i="1"/>
  <c r="E2280" i="1"/>
  <c r="B2280" i="1"/>
  <c r="E2279" i="1"/>
  <c r="B2279" i="1"/>
  <c r="E2278" i="1"/>
  <c r="B2278" i="1"/>
  <c r="E2277" i="1"/>
  <c r="B2277" i="1"/>
  <c r="E2276" i="1"/>
  <c r="B2276" i="1"/>
  <c r="E2275" i="1"/>
  <c r="B2275" i="1"/>
  <c r="E2274" i="1"/>
  <c r="B2274" i="1"/>
  <c r="E2273" i="1"/>
  <c r="B2273" i="1"/>
  <c r="E2272" i="1"/>
  <c r="B2272" i="1"/>
  <c r="E2271" i="1"/>
  <c r="B2271" i="1"/>
  <c r="E2270" i="1"/>
  <c r="B2270" i="1"/>
  <c r="E2269" i="1"/>
  <c r="B2269" i="1"/>
  <c r="E2268" i="1"/>
  <c r="B2268" i="1"/>
  <c r="E2267" i="1"/>
  <c r="B2267" i="1"/>
  <c r="E2266" i="1"/>
  <c r="B2266" i="1"/>
  <c r="E2265" i="1"/>
  <c r="B2265" i="1"/>
  <c r="E2264" i="1"/>
  <c r="B2264" i="1"/>
  <c r="E2263" i="1"/>
  <c r="B2263" i="1"/>
  <c r="E2262" i="1"/>
  <c r="B2262" i="1"/>
  <c r="E2261" i="1"/>
  <c r="B2261" i="1"/>
  <c r="E2260" i="1"/>
  <c r="B2260" i="1"/>
  <c r="E2259" i="1"/>
  <c r="B2259" i="1"/>
  <c r="E2258" i="1"/>
  <c r="B2258" i="1"/>
  <c r="E2257" i="1"/>
  <c r="B2257" i="1"/>
  <c r="E2256" i="1"/>
  <c r="B2256" i="1"/>
  <c r="E2255" i="1"/>
  <c r="B2255" i="1"/>
  <c r="E2254" i="1"/>
  <c r="B2254" i="1"/>
  <c r="E2253" i="1"/>
  <c r="B2253" i="1"/>
  <c r="E2252" i="1"/>
  <c r="B2252" i="1"/>
  <c r="E2251" i="1"/>
  <c r="B2251" i="1"/>
  <c r="E2250" i="1"/>
  <c r="B2250" i="1"/>
  <c r="E2249" i="1"/>
  <c r="B2249" i="1"/>
  <c r="E2248" i="1"/>
  <c r="B2248" i="1"/>
  <c r="E2247" i="1"/>
  <c r="B2247" i="1"/>
  <c r="E2246" i="1"/>
  <c r="B2246" i="1"/>
  <c r="E2245" i="1"/>
  <c r="B2245" i="1"/>
  <c r="E2244" i="1"/>
  <c r="B2244" i="1"/>
  <c r="E2243" i="1"/>
  <c r="B2243" i="1"/>
  <c r="E2242" i="1"/>
  <c r="B2242" i="1"/>
  <c r="E2241" i="1"/>
  <c r="B2241" i="1"/>
  <c r="E2240" i="1"/>
  <c r="B2240" i="1"/>
  <c r="E2239" i="1"/>
  <c r="B2239" i="1"/>
  <c r="E2238" i="1"/>
  <c r="B2238" i="1"/>
  <c r="E2237" i="1"/>
  <c r="B2237" i="1"/>
  <c r="E2236" i="1"/>
  <c r="B2236" i="1"/>
  <c r="E2235" i="1"/>
  <c r="B2235" i="1"/>
  <c r="E2234" i="1"/>
  <c r="B2234" i="1"/>
  <c r="E2233" i="1"/>
  <c r="B2233" i="1"/>
  <c r="E2232" i="1"/>
  <c r="B2232" i="1"/>
  <c r="E2231" i="1"/>
  <c r="B2231" i="1"/>
  <c r="E2230" i="1"/>
  <c r="B2230" i="1"/>
  <c r="E2229" i="1"/>
  <c r="B2229" i="1"/>
  <c r="E2228" i="1"/>
  <c r="B2228" i="1"/>
  <c r="E2227" i="1"/>
  <c r="B2227" i="1"/>
  <c r="E2226" i="1"/>
  <c r="B2226" i="1"/>
  <c r="E2225" i="1"/>
  <c r="B2225" i="1"/>
  <c r="E2224" i="1"/>
  <c r="B2224" i="1"/>
  <c r="E2223" i="1"/>
  <c r="B2223" i="1"/>
  <c r="E2222" i="1"/>
  <c r="B2222" i="1"/>
  <c r="E2221" i="1"/>
  <c r="B2221" i="1"/>
  <c r="E2220" i="1"/>
  <c r="B2220" i="1"/>
  <c r="E2219" i="1"/>
  <c r="B2219" i="1"/>
  <c r="E2218" i="1"/>
  <c r="B2218" i="1"/>
  <c r="E2217" i="1"/>
  <c r="B2217" i="1"/>
  <c r="E2216" i="1"/>
  <c r="B2216" i="1"/>
  <c r="E2215" i="1"/>
  <c r="B2215" i="1"/>
  <c r="E2214" i="1"/>
  <c r="B2214" i="1"/>
  <c r="E2213" i="1"/>
  <c r="B2213" i="1"/>
  <c r="E2212" i="1"/>
  <c r="B2212" i="1"/>
  <c r="E2211" i="1"/>
  <c r="B2211" i="1"/>
  <c r="E2210" i="1"/>
  <c r="B2210" i="1"/>
  <c r="E2209" i="1"/>
  <c r="B2209" i="1"/>
  <c r="E2208" i="1"/>
  <c r="B2208" i="1"/>
  <c r="E2207" i="1"/>
  <c r="B2207" i="1"/>
  <c r="E2206" i="1"/>
  <c r="B2206" i="1"/>
  <c r="E2205" i="1"/>
  <c r="B2205" i="1"/>
  <c r="E2204" i="1"/>
  <c r="B2204" i="1"/>
  <c r="E2203" i="1"/>
  <c r="B2203" i="1"/>
  <c r="E2202" i="1"/>
  <c r="B2202" i="1"/>
  <c r="E2201" i="1"/>
  <c r="B2201" i="1"/>
  <c r="E2200" i="1"/>
  <c r="B2200" i="1"/>
  <c r="E2199" i="1"/>
  <c r="B2199" i="1"/>
  <c r="E2198" i="1"/>
  <c r="B2198" i="1"/>
  <c r="E2197" i="1"/>
  <c r="B2197" i="1"/>
  <c r="E2196" i="1"/>
  <c r="B2196" i="1"/>
  <c r="E2195" i="1"/>
  <c r="B2195" i="1"/>
  <c r="E2194" i="1"/>
  <c r="B2194" i="1"/>
  <c r="E2193" i="1"/>
  <c r="B2193" i="1"/>
  <c r="E2192" i="1"/>
  <c r="B2192" i="1"/>
  <c r="E2191" i="1"/>
  <c r="B2191" i="1"/>
  <c r="E2190" i="1"/>
  <c r="B2190" i="1"/>
  <c r="E2189" i="1"/>
  <c r="B2189" i="1"/>
  <c r="E2188" i="1"/>
  <c r="B2188" i="1"/>
  <c r="E2187" i="1"/>
  <c r="B2187" i="1"/>
  <c r="E2186" i="1"/>
  <c r="B2186" i="1"/>
  <c r="E2185" i="1"/>
  <c r="B2185" i="1"/>
  <c r="E2184" i="1"/>
  <c r="B2184" i="1"/>
  <c r="E2183" i="1"/>
  <c r="B2183" i="1"/>
  <c r="E2182" i="1"/>
  <c r="B2182" i="1"/>
  <c r="E2181" i="1"/>
  <c r="B2181" i="1"/>
  <c r="E2180" i="1"/>
  <c r="B2180" i="1"/>
  <c r="E2179" i="1"/>
  <c r="B2179" i="1"/>
  <c r="E2178" i="1"/>
  <c r="B2178" i="1"/>
  <c r="E2177" i="1"/>
  <c r="B2177" i="1"/>
  <c r="E2176" i="1"/>
  <c r="B2176" i="1"/>
  <c r="E2175" i="1"/>
  <c r="B2175" i="1"/>
  <c r="E2174" i="1"/>
  <c r="B2174" i="1"/>
  <c r="E2173" i="1"/>
  <c r="B2173" i="1"/>
  <c r="E2172" i="1"/>
  <c r="B2172" i="1"/>
  <c r="E2171" i="1"/>
  <c r="B2171" i="1"/>
  <c r="E2170" i="1"/>
  <c r="B2170" i="1"/>
  <c r="E2169" i="1"/>
  <c r="B2169" i="1"/>
  <c r="E2168" i="1"/>
  <c r="B2168" i="1"/>
  <c r="E2167" i="1"/>
  <c r="B2167" i="1"/>
  <c r="E2166" i="1"/>
  <c r="B2166" i="1"/>
  <c r="E2165" i="1"/>
  <c r="B2165" i="1"/>
  <c r="E2164" i="1"/>
  <c r="B2164" i="1"/>
  <c r="E2163" i="1"/>
  <c r="B2163" i="1"/>
  <c r="E2162" i="1"/>
  <c r="B2162" i="1"/>
  <c r="E2161" i="1"/>
  <c r="B2161" i="1"/>
  <c r="E2160" i="1"/>
  <c r="B2160" i="1"/>
  <c r="E2159" i="1"/>
  <c r="B2159" i="1"/>
  <c r="E2158" i="1"/>
  <c r="B2158" i="1"/>
  <c r="E2157" i="1"/>
  <c r="B2157" i="1"/>
  <c r="E2156" i="1"/>
  <c r="B2156" i="1"/>
  <c r="E2155" i="1"/>
  <c r="B2155" i="1"/>
  <c r="E2154" i="1"/>
  <c r="B2154" i="1"/>
  <c r="E2153" i="1"/>
  <c r="B2153" i="1"/>
  <c r="E2152" i="1"/>
  <c r="B2152" i="1"/>
  <c r="E2151" i="1"/>
  <c r="B2151" i="1"/>
  <c r="E2150" i="1"/>
  <c r="B2150" i="1"/>
  <c r="E2149" i="1"/>
  <c r="B2149" i="1"/>
  <c r="E2148" i="1"/>
  <c r="B2148" i="1"/>
  <c r="E2147" i="1"/>
  <c r="B2147" i="1"/>
  <c r="E2146" i="1"/>
  <c r="B2146" i="1"/>
  <c r="E2145" i="1"/>
  <c r="B2145" i="1"/>
  <c r="E2144" i="1"/>
  <c r="B2144" i="1"/>
  <c r="E2143" i="1"/>
  <c r="B2143" i="1"/>
  <c r="E2142" i="1"/>
  <c r="B2142" i="1"/>
  <c r="E2141" i="1"/>
  <c r="B2141" i="1"/>
  <c r="E2140" i="1"/>
  <c r="B2140" i="1"/>
  <c r="E2139" i="1"/>
  <c r="B2139" i="1"/>
  <c r="E2138" i="1"/>
  <c r="B2138" i="1"/>
  <c r="E2137" i="1"/>
  <c r="B2137" i="1"/>
  <c r="E2136" i="1"/>
  <c r="B2136" i="1"/>
  <c r="E2135" i="1"/>
  <c r="B2135" i="1"/>
  <c r="E2134" i="1"/>
  <c r="B2134" i="1"/>
  <c r="E2133" i="1"/>
  <c r="B2133" i="1"/>
  <c r="E2132" i="1"/>
  <c r="B2132" i="1"/>
  <c r="E2131" i="1"/>
  <c r="B2131" i="1"/>
  <c r="E2130" i="1"/>
  <c r="B2130" i="1"/>
  <c r="E2129" i="1"/>
  <c r="B2129" i="1"/>
  <c r="E2128" i="1"/>
  <c r="B2128" i="1"/>
  <c r="E2127" i="1"/>
  <c r="B2127" i="1"/>
  <c r="E2126" i="1"/>
  <c r="B2126" i="1"/>
  <c r="E2125" i="1"/>
  <c r="B2125" i="1"/>
  <c r="E2124" i="1"/>
  <c r="B2124" i="1"/>
  <c r="E2123" i="1"/>
  <c r="B2123" i="1"/>
  <c r="E2122" i="1"/>
  <c r="B2122" i="1"/>
  <c r="E2121" i="1"/>
  <c r="B2121" i="1"/>
  <c r="E2120" i="1"/>
  <c r="B2120" i="1"/>
  <c r="E2119" i="1"/>
  <c r="B2119" i="1"/>
  <c r="E2118" i="1"/>
  <c r="B2118" i="1"/>
  <c r="E2117" i="1"/>
  <c r="B2117" i="1"/>
  <c r="E2116" i="1"/>
  <c r="B2116" i="1"/>
  <c r="E2115" i="1"/>
  <c r="B2115" i="1"/>
  <c r="E2114" i="1"/>
  <c r="B2114" i="1"/>
  <c r="E2113" i="1"/>
  <c r="B2113" i="1"/>
  <c r="E2112" i="1"/>
  <c r="B2112" i="1"/>
  <c r="E2111" i="1"/>
  <c r="B2111" i="1"/>
  <c r="E2110" i="1"/>
  <c r="B2110" i="1"/>
  <c r="E2109" i="1"/>
  <c r="B2109" i="1"/>
  <c r="E2108" i="1"/>
  <c r="B2108" i="1"/>
  <c r="E2107" i="1"/>
  <c r="B2107" i="1"/>
  <c r="E2106" i="1"/>
  <c r="B2106" i="1"/>
  <c r="E2105" i="1"/>
  <c r="B2105" i="1"/>
  <c r="E2104" i="1"/>
  <c r="B2104" i="1"/>
  <c r="E2103" i="1"/>
  <c r="B2103" i="1"/>
  <c r="E2102" i="1"/>
  <c r="B2102" i="1"/>
  <c r="E2101" i="1"/>
  <c r="B2101" i="1"/>
  <c r="E2100" i="1"/>
  <c r="B2100" i="1"/>
  <c r="E2099" i="1"/>
  <c r="B2099" i="1"/>
  <c r="E2098" i="1"/>
  <c r="B2098" i="1"/>
  <c r="E2097" i="1"/>
  <c r="B2097" i="1"/>
  <c r="E2096" i="1"/>
  <c r="B2096" i="1"/>
  <c r="E2095" i="1"/>
  <c r="B2095" i="1"/>
  <c r="E2094" i="1"/>
  <c r="B2094" i="1"/>
  <c r="E2093" i="1"/>
  <c r="B2093" i="1"/>
  <c r="E2092" i="1"/>
  <c r="B2092" i="1"/>
  <c r="E2091" i="1"/>
  <c r="B2091" i="1"/>
  <c r="E2090" i="1"/>
  <c r="B2090" i="1"/>
  <c r="E2089" i="1"/>
  <c r="B2089" i="1"/>
  <c r="E2088" i="1"/>
  <c r="B2088" i="1"/>
  <c r="E2087" i="1"/>
  <c r="B2087" i="1"/>
  <c r="E2086" i="1"/>
  <c r="B2086" i="1"/>
  <c r="E2085" i="1"/>
  <c r="B2085" i="1"/>
  <c r="E2084" i="1"/>
  <c r="B2084" i="1"/>
  <c r="E2083" i="1"/>
  <c r="B2083" i="1"/>
  <c r="E2082" i="1"/>
  <c r="B2082" i="1"/>
  <c r="E2081" i="1"/>
  <c r="B2081" i="1"/>
  <c r="E2080" i="1"/>
  <c r="B2080" i="1"/>
  <c r="E2079" i="1"/>
  <c r="B2079" i="1"/>
  <c r="E2078" i="1"/>
  <c r="B2078" i="1"/>
  <c r="E2077" i="1"/>
  <c r="B2077" i="1"/>
  <c r="E2076" i="1"/>
  <c r="B2076" i="1"/>
  <c r="E2075" i="1"/>
  <c r="B2075" i="1"/>
  <c r="E2074" i="1"/>
  <c r="B2074" i="1"/>
  <c r="E2073" i="1"/>
  <c r="B2073" i="1"/>
  <c r="E2072" i="1"/>
  <c r="B2072" i="1"/>
  <c r="E2071" i="1"/>
  <c r="B2071" i="1"/>
  <c r="E2070" i="1"/>
  <c r="B2070" i="1"/>
  <c r="E2069" i="1"/>
  <c r="B2069" i="1"/>
  <c r="E2068" i="1"/>
  <c r="B2068" i="1"/>
  <c r="E2067" i="1"/>
  <c r="B2067" i="1"/>
  <c r="E2066" i="1"/>
  <c r="B2066" i="1"/>
  <c r="E2065" i="1"/>
  <c r="B2065" i="1"/>
  <c r="E2064" i="1"/>
  <c r="B2064" i="1"/>
  <c r="E2063" i="1"/>
  <c r="B2063" i="1"/>
  <c r="E2062" i="1"/>
  <c r="B2062" i="1"/>
  <c r="E2061" i="1"/>
  <c r="B2061" i="1"/>
  <c r="E2060" i="1"/>
  <c r="B2060" i="1"/>
  <c r="E2059" i="1"/>
  <c r="B2059" i="1"/>
  <c r="E2058" i="1"/>
  <c r="B2058" i="1"/>
  <c r="E2057" i="1"/>
  <c r="B2057" i="1"/>
  <c r="E2056" i="1"/>
  <c r="B2056" i="1"/>
  <c r="E2055" i="1"/>
  <c r="B2055" i="1"/>
  <c r="E2054" i="1"/>
  <c r="B2054" i="1"/>
  <c r="E2053" i="1"/>
  <c r="B2053" i="1"/>
  <c r="E2052" i="1"/>
  <c r="B2052" i="1"/>
  <c r="E2051" i="1"/>
  <c r="B2051" i="1"/>
  <c r="E2050" i="1"/>
  <c r="B2050" i="1"/>
  <c r="E2049" i="1"/>
  <c r="B2049" i="1"/>
  <c r="E2048" i="1"/>
  <c r="B2048" i="1"/>
  <c r="E2047" i="1"/>
  <c r="B2047" i="1"/>
  <c r="E2046" i="1"/>
  <c r="B2046" i="1"/>
  <c r="E2045" i="1"/>
  <c r="B2045" i="1"/>
  <c r="E2044" i="1"/>
  <c r="B2044" i="1"/>
  <c r="E2043" i="1"/>
  <c r="B2043" i="1"/>
  <c r="E2042" i="1"/>
  <c r="B2042" i="1"/>
  <c r="E2041" i="1"/>
  <c r="B2041" i="1"/>
  <c r="E2040" i="1"/>
  <c r="B2040" i="1"/>
  <c r="E2039" i="1"/>
  <c r="B2039" i="1"/>
  <c r="E2038" i="1"/>
  <c r="B2038" i="1"/>
  <c r="E2037" i="1"/>
  <c r="B2037" i="1"/>
  <c r="E2036" i="1"/>
  <c r="B2036" i="1"/>
  <c r="E2035" i="1"/>
  <c r="B2035" i="1"/>
  <c r="E2034" i="1"/>
  <c r="B2034" i="1"/>
  <c r="E2033" i="1"/>
  <c r="B2033" i="1"/>
  <c r="E2032" i="1"/>
  <c r="B2032" i="1"/>
  <c r="E2031" i="1"/>
  <c r="B2031" i="1"/>
  <c r="E2030" i="1"/>
  <c r="B2030" i="1"/>
  <c r="E2029" i="1"/>
  <c r="B2029" i="1"/>
  <c r="E2028" i="1"/>
  <c r="B2028" i="1"/>
  <c r="E2027" i="1"/>
  <c r="B2027" i="1"/>
  <c r="E2026" i="1"/>
  <c r="B2026" i="1"/>
  <c r="E2025" i="1"/>
  <c r="B2025" i="1"/>
  <c r="E2024" i="1"/>
  <c r="B2024" i="1"/>
  <c r="E2023" i="1"/>
  <c r="B2023" i="1"/>
  <c r="E2022" i="1"/>
  <c r="B2022" i="1"/>
  <c r="E2021" i="1"/>
  <c r="B2021" i="1"/>
  <c r="E2020" i="1"/>
  <c r="B2020" i="1"/>
  <c r="E2019" i="1"/>
  <c r="B2019" i="1"/>
  <c r="E2018" i="1"/>
  <c r="B2018" i="1"/>
  <c r="E2017" i="1"/>
  <c r="B2017" i="1"/>
  <c r="E2016" i="1"/>
  <c r="B2016" i="1"/>
  <c r="E2015" i="1"/>
  <c r="B2015" i="1"/>
  <c r="E2014" i="1"/>
  <c r="B2014" i="1"/>
  <c r="E2013" i="1"/>
  <c r="B2013" i="1"/>
  <c r="E2012" i="1"/>
  <c r="B2012" i="1"/>
  <c r="E2011" i="1"/>
  <c r="B2011" i="1"/>
  <c r="E2010" i="1"/>
  <c r="B2010" i="1"/>
  <c r="E2009" i="1"/>
  <c r="B2009" i="1"/>
  <c r="E2008" i="1"/>
  <c r="B2008" i="1"/>
  <c r="E2007" i="1"/>
  <c r="B2007" i="1"/>
  <c r="E2006" i="1"/>
  <c r="B2006" i="1"/>
  <c r="E2005" i="1"/>
  <c r="B2005" i="1"/>
  <c r="E2004" i="1"/>
  <c r="B2004" i="1"/>
  <c r="E2003" i="1"/>
  <c r="B2003" i="1"/>
  <c r="E2002" i="1"/>
  <c r="B2002" i="1"/>
  <c r="E2001" i="1"/>
  <c r="B2001" i="1"/>
  <c r="E2000" i="1"/>
  <c r="B2000" i="1"/>
  <c r="E1999" i="1"/>
  <c r="B1999" i="1"/>
  <c r="E1998" i="1"/>
  <c r="B1998" i="1"/>
  <c r="E1997" i="1"/>
  <c r="B1997" i="1"/>
  <c r="E1996" i="1"/>
  <c r="B1996" i="1"/>
  <c r="E1995" i="1"/>
  <c r="B1995" i="1"/>
  <c r="E1994" i="1"/>
  <c r="B1994" i="1"/>
  <c r="E1993" i="1"/>
  <c r="B1993" i="1"/>
  <c r="E1992" i="1"/>
  <c r="B1992" i="1"/>
  <c r="E1991" i="1"/>
  <c r="B1991" i="1"/>
  <c r="E1990" i="1"/>
  <c r="B1990" i="1"/>
  <c r="E1989" i="1"/>
  <c r="B1989" i="1"/>
  <c r="E1988" i="1"/>
  <c r="B1988" i="1"/>
  <c r="E1987" i="1"/>
  <c r="B1987" i="1"/>
  <c r="E1986" i="1"/>
  <c r="B1986" i="1"/>
  <c r="E1985" i="1"/>
  <c r="B1985" i="1"/>
  <c r="E1984" i="1"/>
  <c r="B1984" i="1"/>
  <c r="E1983" i="1"/>
  <c r="B1983" i="1"/>
  <c r="E1982" i="1"/>
  <c r="B1982" i="1"/>
  <c r="E1981" i="1"/>
  <c r="B1981" i="1"/>
  <c r="E1980" i="1"/>
  <c r="B1980" i="1"/>
  <c r="E1979" i="1"/>
  <c r="B1979" i="1"/>
  <c r="E1978" i="1"/>
  <c r="B1978" i="1"/>
  <c r="E1977" i="1"/>
  <c r="B1977" i="1"/>
  <c r="E1976" i="1"/>
  <c r="B1976" i="1"/>
  <c r="E1975" i="1"/>
  <c r="B1975" i="1"/>
  <c r="E1974" i="1"/>
  <c r="B1974" i="1"/>
  <c r="E1973" i="1"/>
  <c r="B1973" i="1"/>
  <c r="E1972" i="1"/>
  <c r="B1972" i="1"/>
  <c r="E1971" i="1"/>
  <c r="B1971" i="1"/>
  <c r="E1970" i="1"/>
  <c r="B1970" i="1"/>
  <c r="E1969" i="1"/>
  <c r="B1969" i="1"/>
  <c r="E1968" i="1"/>
  <c r="B1968" i="1"/>
  <c r="E1967" i="1"/>
  <c r="B1967" i="1"/>
  <c r="E1966" i="1"/>
  <c r="B1966" i="1"/>
  <c r="E1965" i="1"/>
  <c r="B1965" i="1"/>
  <c r="E1964" i="1"/>
  <c r="B1964" i="1"/>
  <c r="E1963" i="1"/>
  <c r="B1963" i="1"/>
  <c r="E1962" i="1"/>
  <c r="B1962" i="1"/>
  <c r="E1961" i="1"/>
  <c r="B1961" i="1"/>
  <c r="E1960" i="1"/>
  <c r="B1960" i="1"/>
  <c r="E1959" i="1"/>
  <c r="B1959" i="1"/>
  <c r="E1958" i="1"/>
  <c r="B1958" i="1"/>
  <c r="E1957" i="1"/>
  <c r="B1957" i="1"/>
  <c r="E1956" i="1"/>
  <c r="B1956" i="1"/>
  <c r="E1955" i="1"/>
  <c r="B1955" i="1"/>
  <c r="E1954" i="1"/>
  <c r="B1954" i="1"/>
  <c r="E1953" i="1"/>
  <c r="B1953" i="1"/>
  <c r="E1952" i="1"/>
  <c r="B1952" i="1"/>
  <c r="E1951" i="1"/>
  <c r="B1951" i="1"/>
  <c r="E1950" i="1"/>
  <c r="B1950" i="1"/>
  <c r="E1949" i="1"/>
  <c r="B1949" i="1"/>
  <c r="E1948" i="1"/>
  <c r="B1948" i="1"/>
  <c r="E1947" i="1"/>
  <c r="B1947" i="1"/>
  <c r="E1946" i="1"/>
  <c r="B1946" i="1"/>
  <c r="E1945" i="1"/>
  <c r="B1945" i="1"/>
  <c r="E1944" i="1"/>
  <c r="B1944" i="1"/>
  <c r="E1943" i="1"/>
  <c r="B1943" i="1"/>
  <c r="E1942" i="1"/>
  <c r="B1942" i="1"/>
  <c r="E1941" i="1"/>
  <c r="B1941" i="1"/>
  <c r="E1940" i="1"/>
  <c r="B1940" i="1"/>
  <c r="E1939" i="1"/>
  <c r="B1939" i="1"/>
  <c r="E1938" i="1"/>
  <c r="B1938" i="1"/>
  <c r="E1937" i="1"/>
  <c r="B1937" i="1"/>
  <c r="E1936" i="1"/>
  <c r="B1936" i="1"/>
  <c r="E1935" i="1"/>
  <c r="B1935" i="1"/>
  <c r="E1934" i="1"/>
  <c r="B1934" i="1"/>
  <c r="E1933" i="1"/>
  <c r="B1933" i="1"/>
  <c r="E1932" i="1"/>
  <c r="B1932" i="1"/>
  <c r="E1931" i="1"/>
  <c r="B1931" i="1"/>
  <c r="E1930" i="1"/>
  <c r="B1930" i="1"/>
  <c r="E1929" i="1"/>
  <c r="B1929" i="1"/>
  <c r="E1928" i="1"/>
  <c r="B1928" i="1"/>
  <c r="E1927" i="1"/>
  <c r="B1927" i="1"/>
  <c r="E1926" i="1"/>
  <c r="B1926" i="1"/>
  <c r="E1925" i="1"/>
  <c r="B1925" i="1"/>
  <c r="E1924" i="1"/>
  <c r="B1924" i="1"/>
  <c r="E1923" i="1"/>
  <c r="B1923" i="1"/>
  <c r="E1922" i="1"/>
  <c r="B1922" i="1"/>
  <c r="E1921" i="1"/>
  <c r="B1921" i="1"/>
  <c r="E1920" i="1"/>
  <c r="B1920" i="1"/>
  <c r="E1919" i="1"/>
  <c r="B1919" i="1"/>
  <c r="E1918" i="1"/>
  <c r="B1918" i="1"/>
  <c r="E1917" i="1"/>
  <c r="B1917" i="1"/>
  <c r="E1916" i="1"/>
  <c r="B1916" i="1"/>
  <c r="E1915" i="1"/>
  <c r="B1915" i="1"/>
  <c r="E1914" i="1"/>
  <c r="B1914" i="1"/>
  <c r="E1913" i="1"/>
  <c r="B1913" i="1"/>
  <c r="E1912" i="1"/>
  <c r="B1912" i="1"/>
  <c r="E1911" i="1"/>
  <c r="B1911" i="1"/>
  <c r="E1910" i="1"/>
  <c r="B1910" i="1"/>
  <c r="E1909" i="1"/>
  <c r="B1909" i="1"/>
  <c r="E1908" i="1"/>
  <c r="B1908" i="1"/>
  <c r="E1907" i="1"/>
  <c r="B1907" i="1"/>
  <c r="E1906" i="1"/>
  <c r="B1906" i="1"/>
  <c r="E1905" i="1"/>
  <c r="B1905" i="1"/>
  <c r="E1904" i="1"/>
  <c r="B1904" i="1"/>
  <c r="E1903" i="1"/>
  <c r="B1903" i="1"/>
  <c r="E1902" i="1"/>
  <c r="B1902" i="1"/>
  <c r="E1901" i="1"/>
  <c r="B1901" i="1"/>
  <c r="E1900" i="1"/>
  <c r="B1900" i="1"/>
  <c r="E1899" i="1"/>
  <c r="B1899" i="1"/>
  <c r="E1898" i="1"/>
  <c r="B1898" i="1"/>
  <c r="E1897" i="1"/>
  <c r="B1897" i="1"/>
  <c r="E1896" i="1"/>
  <c r="B1896" i="1"/>
  <c r="E1895" i="1"/>
  <c r="B1895" i="1"/>
  <c r="E1894" i="1"/>
  <c r="B1894" i="1"/>
  <c r="E1893" i="1"/>
  <c r="B1893" i="1"/>
  <c r="E1892" i="1"/>
  <c r="B1892" i="1"/>
  <c r="E1891" i="1"/>
  <c r="B1891" i="1"/>
  <c r="E1890" i="1"/>
  <c r="B1890" i="1"/>
  <c r="E1889" i="1"/>
  <c r="B1889" i="1"/>
  <c r="E1888" i="1"/>
  <c r="B1888" i="1"/>
  <c r="E1887" i="1"/>
  <c r="B1887" i="1"/>
  <c r="E1886" i="1"/>
  <c r="B1886" i="1"/>
  <c r="E1885" i="1"/>
  <c r="B1885" i="1"/>
  <c r="E1884" i="1"/>
  <c r="B1884" i="1"/>
  <c r="E1883" i="1"/>
  <c r="B1883" i="1"/>
  <c r="E1882" i="1"/>
  <c r="B1882" i="1"/>
  <c r="E1881" i="1"/>
  <c r="B1881" i="1"/>
  <c r="E1880" i="1"/>
  <c r="B1880" i="1"/>
  <c r="E1879" i="1"/>
  <c r="B1879" i="1"/>
  <c r="E1878" i="1"/>
  <c r="B1878" i="1"/>
  <c r="E1877" i="1"/>
  <c r="B1877" i="1"/>
  <c r="E1876" i="1"/>
  <c r="B1876" i="1"/>
  <c r="E1875" i="1"/>
  <c r="B1875" i="1"/>
  <c r="E1874" i="1"/>
  <c r="B1874" i="1"/>
  <c r="E1873" i="1"/>
  <c r="B1873" i="1"/>
  <c r="E1872" i="1"/>
  <c r="B1872" i="1"/>
  <c r="E1871" i="1"/>
  <c r="B1871" i="1"/>
  <c r="E1870" i="1"/>
  <c r="B1870" i="1"/>
  <c r="E1869" i="1"/>
  <c r="B1869" i="1"/>
  <c r="E1868" i="1"/>
  <c r="B1868" i="1"/>
  <c r="E1867" i="1"/>
  <c r="B1867" i="1"/>
  <c r="E1866" i="1"/>
  <c r="B1866" i="1"/>
  <c r="E1865" i="1"/>
  <c r="B1865" i="1"/>
  <c r="E1864" i="1"/>
  <c r="B1864" i="1"/>
  <c r="E1863" i="1"/>
  <c r="B1863" i="1"/>
  <c r="E1862" i="1"/>
  <c r="B1862" i="1"/>
  <c r="E1861" i="1"/>
  <c r="B1861" i="1"/>
  <c r="E1860" i="1"/>
  <c r="B1860" i="1"/>
  <c r="E1859" i="1"/>
  <c r="B1859" i="1"/>
  <c r="E1858" i="1"/>
  <c r="B1858" i="1"/>
  <c r="E1857" i="1"/>
  <c r="B1857" i="1"/>
  <c r="E1856" i="1"/>
  <c r="B1856" i="1"/>
  <c r="E1855" i="1"/>
  <c r="B1855" i="1"/>
  <c r="E1854" i="1"/>
  <c r="B1854" i="1"/>
  <c r="E1853" i="1"/>
  <c r="B1853" i="1"/>
  <c r="E1852" i="1"/>
  <c r="B1852" i="1"/>
  <c r="E1851" i="1"/>
  <c r="B1851" i="1"/>
  <c r="E1850" i="1"/>
  <c r="B1850" i="1"/>
  <c r="E1849" i="1"/>
  <c r="B1849" i="1"/>
  <c r="E1848" i="1"/>
  <c r="B1848" i="1"/>
  <c r="E1847" i="1"/>
  <c r="B1847" i="1"/>
  <c r="E1846" i="1"/>
  <c r="B1846" i="1"/>
  <c r="E1845" i="1"/>
  <c r="B1845" i="1"/>
  <c r="E1844" i="1"/>
  <c r="B1844" i="1"/>
  <c r="E1843" i="1"/>
  <c r="B1843" i="1"/>
  <c r="E1842" i="1"/>
  <c r="B1842" i="1"/>
  <c r="E1841" i="1"/>
  <c r="B1841" i="1"/>
  <c r="E1840" i="1"/>
  <c r="B1840" i="1"/>
  <c r="E1839" i="1"/>
  <c r="B1839" i="1"/>
  <c r="E1838" i="1"/>
  <c r="B1838" i="1"/>
  <c r="E1837" i="1"/>
  <c r="B1837" i="1"/>
  <c r="E1836" i="1"/>
  <c r="B1836" i="1"/>
  <c r="E1835" i="1"/>
  <c r="B1835" i="1"/>
  <c r="E1834" i="1"/>
  <c r="B1834" i="1"/>
  <c r="E1833" i="1"/>
  <c r="B1833" i="1"/>
  <c r="E1832" i="1"/>
  <c r="B1832" i="1"/>
  <c r="E1831" i="1"/>
  <c r="B1831" i="1"/>
  <c r="E1830" i="1"/>
  <c r="B1830" i="1"/>
  <c r="E1829" i="1"/>
  <c r="B1829" i="1"/>
  <c r="E1828" i="1"/>
  <c r="B1828" i="1"/>
  <c r="E1827" i="1"/>
  <c r="B1827" i="1"/>
  <c r="E1826" i="1"/>
  <c r="B1826" i="1"/>
  <c r="E1825" i="1"/>
  <c r="B1825" i="1"/>
  <c r="E1824" i="1"/>
  <c r="B1824" i="1"/>
  <c r="E1823" i="1"/>
  <c r="B1823" i="1"/>
  <c r="E1822" i="1"/>
  <c r="B1822" i="1"/>
  <c r="E1821" i="1"/>
  <c r="B1821" i="1"/>
  <c r="E1820" i="1"/>
  <c r="B1820" i="1"/>
  <c r="E1819" i="1"/>
  <c r="B1819" i="1"/>
  <c r="E1818" i="1"/>
  <c r="B1818" i="1"/>
  <c r="E1817" i="1"/>
  <c r="B1817" i="1"/>
  <c r="E1816" i="1"/>
  <c r="B1816" i="1"/>
  <c r="E1815" i="1"/>
  <c r="B1815" i="1"/>
  <c r="E1814" i="1"/>
  <c r="B1814" i="1"/>
  <c r="E1813" i="1"/>
  <c r="B1813" i="1"/>
  <c r="E1812" i="1"/>
  <c r="B1812" i="1"/>
  <c r="E1811" i="1"/>
  <c r="B1811" i="1"/>
  <c r="E1810" i="1"/>
  <c r="B1810" i="1"/>
  <c r="E1809" i="1"/>
  <c r="B1809" i="1"/>
  <c r="E1808" i="1"/>
  <c r="B1808" i="1"/>
  <c r="E1807" i="1"/>
  <c r="B1807" i="1"/>
  <c r="E1806" i="1"/>
  <c r="B1806" i="1"/>
  <c r="E1805" i="1"/>
  <c r="B1805" i="1"/>
  <c r="E1804" i="1"/>
  <c r="B1804" i="1"/>
  <c r="E1803" i="1"/>
  <c r="B1803" i="1"/>
  <c r="E1802" i="1"/>
  <c r="B1802" i="1"/>
  <c r="E1801" i="1"/>
  <c r="B1801" i="1"/>
  <c r="E1800" i="1"/>
  <c r="B1800" i="1"/>
  <c r="E1799" i="1"/>
  <c r="B1799" i="1"/>
  <c r="E1798" i="1"/>
  <c r="B1798" i="1"/>
  <c r="E1797" i="1"/>
  <c r="B1797" i="1"/>
  <c r="E1796" i="1"/>
  <c r="B1796" i="1"/>
  <c r="E1795" i="1"/>
  <c r="B1795" i="1"/>
  <c r="E1794" i="1"/>
  <c r="B1794" i="1"/>
  <c r="E1793" i="1"/>
  <c r="B1793" i="1"/>
  <c r="E1792" i="1"/>
  <c r="B1792" i="1"/>
  <c r="E1791" i="1"/>
  <c r="B1791" i="1"/>
  <c r="E1790" i="1"/>
  <c r="B1790" i="1"/>
  <c r="E1789" i="1"/>
  <c r="B1789" i="1"/>
  <c r="E1788" i="1"/>
  <c r="B1788" i="1"/>
  <c r="E1787" i="1"/>
  <c r="B1787" i="1"/>
  <c r="E1786" i="1"/>
  <c r="B1786" i="1"/>
  <c r="E1785" i="1"/>
  <c r="B1785" i="1"/>
  <c r="E1784" i="1"/>
  <c r="B1784" i="1"/>
  <c r="E1783" i="1"/>
  <c r="B1783" i="1"/>
  <c r="B1533" i="1" l="1"/>
  <c r="E1782" i="1"/>
  <c r="B1782" i="1"/>
  <c r="E1781" i="1"/>
  <c r="B1781" i="1"/>
  <c r="E1780" i="1"/>
  <c r="B1780" i="1"/>
  <c r="E1779" i="1"/>
  <c r="B1779" i="1"/>
  <c r="E1778" i="1"/>
  <c r="B1778" i="1"/>
  <c r="E1777" i="1"/>
  <c r="B1777" i="1"/>
  <c r="E1776" i="1"/>
  <c r="B1776" i="1"/>
  <c r="E1775" i="1"/>
  <c r="B1775" i="1"/>
  <c r="E1774" i="1"/>
  <c r="B1774" i="1"/>
  <c r="E1773" i="1"/>
  <c r="B1773" i="1"/>
  <c r="E1772" i="1"/>
  <c r="B1772" i="1"/>
  <c r="E1771" i="1"/>
  <c r="B1771" i="1"/>
  <c r="E1770" i="1"/>
  <c r="B1770" i="1"/>
  <c r="E1769" i="1"/>
  <c r="B1769" i="1"/>
  <c r="E1768" i="1"/>
  <c r="B1768" i="1"/>
  <c r="E1767" i="1"/>
  <c r="B1767" i="1"/>
  <c r="E1766" i="1"/>
  <c r="B1766" i="1"/>
  <c r="E1765" i="1"/>
  <c r="B1765" i="1"/>
  <c r="E1764" i="1"/>
  <c r="B1764" i="1"/>
  <c r="E1763" i="1"/>
  <c r="B1763" i="1"/>
  <c r="E1762" i="1"/>
  <c r="B1762" i="1"/>
  <c r="E1761" i="1"/>
  <c r="B1761" i="1"/>
  <c r="E1760" i="1"/>
  <c r="B1760" i="1"/>
  <c r="E1759" i="1"/>
  <c r="B1759" i="1"/>
  <c r="E1758" i="1"/>
  <c r="B1758" i="1"/>
  <c r="E1757" i="1"/>
  <c r="B1757" i="1"/>
  <c r="E1756" i="1"/>
  <c r="B1756" i="1"/>
  <c r="E1755" i="1"/>
  <c r="B1755" i="1"/>
  <c r="E1754" i="1"/>
  <c r="B1754" i="1"/>
  <c r="E1753" i="1"/>
  <c r="B1753" i="1"/>
  <c r="E1752" i="1"/>
  <c r="B1752" i="1"/>
  <c r="E1751" i="1"/>
  <c r="B1751" i="1"/>
  <c r="E1750" i="1"/>
  <c r="B1750" i="1"/>
  <c r="E1749" i="1"/>
  <c r="B1749" i="1"/>
  <c r="E1748" i="1"/>
  <c r="B1748" i="1"/>
  <c r="E1747" i="1"/>
  <c r="B1747" i="1"/>
  <c r="E1746" i="1"/>
  <c r="B1746" i="1"/>
  <c r="E1745" i="1"/>
  <c r="B1745" i="1"/>
  <c r="E1744" i="1"/>
  <c r="B1744" i="1"/>
  <c r="E1743" i="1"/>
  <c r="B1743" i="1"/>
  <c r="E1742" i="1"/>
  <c r="B1742" i="1"/>
  <c r="E1741" i="1"/>
  <c r="B1741" i="1"/>
  <c r="E1740" i="1"/>
  <c r="B1740" i="1"/>
  <c r="E1739" i="1"/>
  <c r="B1739" i="1"/>
  <c r="E1738" i="1"/>
  <c r="B1738" i="1"/>
  <c r="E1737" i="1"/>
  <c r="B1737" i="1"/>
  <c r="E1736" i="1"/>
  <c r="B1736" i="1"/>
  <c r="E1735" i="1"/>
  <c r="B1735" i="1"/>
  <c r="E1734" i="1"/>
  <c r="B1734" i="1"/>
  <c r="E1733" i="1"/>
  <c r="B1733" i="1"/>
  <c r="E1732" i="1"/>
  <c r="B1732" i="1"/>
  <c r="E1731" i="1"/>
  <c r="B1731" i="1"/>
  <c r="E1730" i="1"/>
  <c r="B1730" i="1"/>
  <c r="E1729" i="1"/>
  <c r="B1729" i="1"/>
  <c r="E1728" i="1"/>
  <c r="B1728" i="1"/>
  <c r="E1727" i="1"/>
  <c r="B1727" i="1"/>
  <c r="E1726" i="1"/>
  <c r="B1726" i="1"/>
  <c r="E1725" i="1"/>
  <c r="B1725" i="1"/>
  <c r="E1724" i="1"/>
  <c r="B1724" i="1"/>
  <c r="E1723" i="1"/>
  <c r="B1723" i="1"/>
  <c r="E1722" i="1"/>
  <c r="B1722" i="1"/>
  <c r="E1721" i="1"/>
  <c r="B1721" i="1"/>
  <c r="E1720" i="1"/>
  <c r="B1720" i="1"/>
  <c r="E1719" i="1"/>
  <c r="B1719" i="1"/>
  <c r="E1718" i="1"/>
  <c r="B1718" i="1"/>
  <c r="E1717" i="1"/>
  <c r="B1717" i="1"/>
  <c r="E1716" i="1"/>
  <c r="B1716" i="1"/>
  <c r="E1715" i="1"/>
  <c r="B1715" i="1"/>
  <c r="E1714" i="1"/>
  <c r="B1714" i="1"/>
  <c r="E1713" i="1"/>
  <c r="B1713" i="1"/>
  <c r="E1712" i="1"/>
  <c r="B1712" i="1"/>
  <c r="E1711" i="1"/>
  <c r="B1711" i="1"/>
  <c r="E1710" i="1"/>
  <c r="B1710" i="1"/>
  <c r="E1709" i="1"/>
  <c r="B1709" i="1"/>
  <c r="E1708" i="1"/>
  <c r="B1708" i="1"/>
  <c r="E1707" i="1"/>
  <c r="B1707" i="1"/>
  <c r="E1706" i="1"/>
  <c r="B1706" i="1"/>
  <c r="E1705" i="1"/>
  <c r="B1705" i="1"/>
  <c r="E1704" i="1"/>
  <c r="B1704" i="1"/>
  <c r="E1703" i="1"/>
  <c r="B1703" i="1"/>
  <c r="E1702" i="1"/>
  <c r="B1702" i="1"/>
  <c r="E1701" i="1"/>
  <c r="B1701" i="1"/>
  <c r="E1700" i="1"/>
  <c r="B1700" i="1"/>
  <c r="E1699" i="1"/>
  <c r="E1698" i="1"/>
  <c r="B1698" i="1"/>
  <c r="E1697" i="1"/>
  <c r="B1697" i="1"/>
  <c r="E1696" i="1"/>
  <c r="B1696" i="1"/>
  <c r="E1695" i="1"/>
  <c r="B1695" i="1"/>
  <c r="E1694" i="1"/>
  <c r="B1694" i="1"/>
  <c r="E1693" i="1"/>
  <c r="B1693" i="1"/>
  <c r="E1692" i="1"/>
  <c r="B1692" i="1"/>
  <c r="E1691" i="1"/>
  <c r="B1691" i="1"/>
  <c r="E1690" i="1"/>
  <c r="B1690" i="1"/>
  <c r="E1689" i="1"/>
  <c r="B1689" i="1"/>
  <c r="E1688" i="1"/>
  <c r="B1688" i="1"/>
  <c r="E1687" i="1"/>
  <c r="B1687" i="1"/>
  <c r="E1686" i="1"/>
  <c r="B1686" i="1"/>
  <c r="E1685" i="1"/>
  <c r="B1685" i="1"/>
  <c r="E1684" i="1"/>
  <c r="B1684" i="1"/>
  <c r="E1683" i="1"/>
  <c r="B1683" i="1"/>
  <c r="E1682" i="1"/>
  <c r="B1682" i="1"/>
  <c r="E1681" i="1"/>
  <c r="B1681" i="1"/>
  <c r="E1680" i="1"/>
  <c r="B1680" i="1"/>
  <c r="E1679" i="1"/>
  <c r="B1679" i="1"/>
  <c r="E1678" i="1"/>
  <c r="B1678" i="1"/>
  <c r="E1677" i="1"/>
  <c r="B1677" i="1"/>
  <c r="E1676" i="1"/>
  <c r="B1676" i="1"/>
  <c r="E1675" i="1"/>
  <c r="B1675" i="1"/>
  <c r="E1674" i="1"/>
  <c r="B1674" i="1"/>
  <c r="E1673" i="1"/>
  <c r="B1673" i="1"/>
  <c r="E1672" i="1"/>
  <c r="B1672" i="1"/>
  <c r="E1671" i="1"/>
  <c r="B1671" i="1"/>
  <c r="E1670" i="1"/>
  <c r="B1670" i="1"/>
  <c r="E1669" i="1"/>
  <c r="B1669" i="1"/>
  <c r="E1668" i="1"/>
  <c r="B1668" i="1"/>
  <c r="E1667" i="1"/>
  <c r="B1667" i="1"/>
  <c r="E1666" i="1"/>
  <c r="B1666" i="1"/>
  <c r="E1665" i="1"/>
  <c r="B1665" i="1"/>
  <c r="E1664" i="1"/>
  <c r="B1664" i="1"/>
  <c r="E1663" i="1"/>
  <c r="B1663" i="1"/>
  <c r="E1662" i="1"/>
  <c r="B1662" i="1"/>
  <c r="E1661" i="1"/>
  <c r="B1661" i="1"/>
  <c r="E1660" i="1"/>
  <c r="B1660" i="1"/>
  <c r="E1659" i="1"/>
  <c r="B1659" i="1"/>
  <c r="E1658" i="1"/>
  <c r="B1658" i="1"/>
  <c r="E1657" i="1"/>
  <c r="B1657" i="1"/>
  <c r="E1656" i="1"/>
  <c r="B1656" i="1"/>
  <c r="E1655" i="1"/>
  <c r="B1655" i="1"/>
  <c r="E1654" i="1"/>
  <c r="B1654" i="1"/>
  <c r="E1653" i="1"/>
  <c r="B1653" i="1"/>
  <c r="E1652" i="1"/>
  <c r="B1652" i="1"/>
  <c r="E1651" i="1"/>
  <c r="B1651" i="1"/>
  <c r="E1650" i="1"/>
  <c r="B1650" i="1"/>
  <c r="E1649" i="1"/>
  <c r="B1649" i="1"/>
  <c r="E1648" i="1"/>
  <c r="B1648" i="1"/>
  <c r="E1647" i="1"/>
  <c r="B1647" i="1"/>
  <c r="E1646" i="1"/>
  <c r="B1646" i="1"/>
  <c r="E1645" i="1"/>
  <c r="B1645" i="1"/>
  <c r="E1644" i="1"/>
  <c r="B1644" i="1"/>
  <c r="E1643" i="1"/>
  <c r="B1643" i="1"/>
  <c r="E1642" i="1"/>
  <c r="B1642" i="1"/>
  <c r="E1641" i="1"/>
  <c r="B1641" i="1"/>
  <c r="E1640" i="1"/>
  <c r="B1640" i="1"/>
  <c r="E1639" i="1"/>
  <c r="B1639" i="1"/>
  <c r="E1638" i="1"/>
  <c r="B1638" i="1"/>
  <c r="E1637" i="1"/>
  <c r="B1637" i="1"/>
  <c r="E1636" i="1"/>
  <c r="B1636" i="1"/>
  <c r="E1635" i="1"/>
  <c r="B1635" i="1"/>
  <c r="E1634" i="1"/>
  <c r="B1634" i="1"/>
  <c r="E1633" i="1"/>
  <c r="B1633" i="1"/>
  <c r="E1632" i="1"/>
  <c r="B1632" i="1"/>
  <c r="E1631" i="1"/>
  <c r="B1631" i="1"/>
  <c r="E1630" i="1"/>
  <c r="B1630" i="1"/>
  <c r="E1629" i="1"/>
  <c r="B1629" i="1"/>
  <c r="E1628" i="1"/>
  <c r="B1628" i="1"/>
  <c r="E1627" i="1"/>
  <c r="B1627" i="1"/>
  <c r="E1626" i="1"/>
  <c r="B1626" i="1"/>
  <c r="E1625" i="1"/>
  <c r="B1625" i="1"/>
  <c r="E1624" i="1"/>
  <c r="B1624" i="1"/>
  <c r="E1623" i="1"/>
  <c r="B1623" i="1"/>
  <c r="E1622" i="1"/>
  <c r="B1622" i="1"/>
  <c r="E1621" i="1"/>
  <c r="B1621" i="1"/>
  <c r="E1620" i="1"/>
  <c r="B1620" i="1"/>
  <c r="E1619" i="1"/>
  <c r="B1619" i="1"/>
  <c r="E1618" i="1"/>
  <c r="B1618" i="1"/>
  <c r="E1617" i="1"/>
  <c r="B1617" i="1"/>
  <c r="E1616" i="1"/>
  <c r="B1616" i="1"/>
  <c r="E1615" i="1"/>
  <c r="B1615" i="1"/>
  <c r="E1614" i="1"/>
  <c r="B1614" i="1"/>
  <c r="E1613" i="1"/>
  <c r="B1613" i="1"/>
  <c r="E1612" i="1"/>
  <c r="B1612" i="1"/>
  <c r="E1611" i="1"/>
  <c r="B1611" i="1"/>
  <c r="E1610" i="1"/>
  <c r="B1610" i="1"/>
  <c r="E1609" i="1"/>
  <c r="B1609" i="1"/>
  <c r="E1608" i="1"/>
  <c r="B1608" i="1"/>
  <c r="E1607" i="1"/>
  <c r="B1607" i="1"/>
  <c r="E1606" i="1"/>
  <c r="B1606" i="1"/>
  <c r="E1605" i="1"/>
  <c r="B1605" i="1"/>
  <c r="E1604" i="1"/>
  <c r="B1604" i="1"/>
  <c r="E1603" i="1"/>
  <c r="B1603" i="1"/>
  <c r="E1602" i="1"/>
  <c r="B1602" i="1"/>
  <c r="E1601" i="1"/>
  <c r="B1601" i="1"/>
  <c r="E1600" i="1"/>
  <c r="B1600" i="1"/>
  <c r="E1599" i="1"/>
  <c r="B1599" i="1"/>
  <c r="E1598" i="1"/>
  <c r="B1598" i="1"/>
  <c r="E1597" i="1"/>
  <c r="B1597" i="1"/>
  <c r="E1596" i="1"/>
  <c r="B1596" i="1"/>
  <c r="E1595" i="1"/>
  <c r="B1595" i="1"/>
  <c r="E1594" i="1"/>
  <c r="B1594" i="1"/>
  <c r="E1593" i="1"/>
  <c r="B1593" i="1"/>
  <c r="E1592" i="1"/>
  <c r="B1592" i="1"/>
  <c r="E1591" i="1"/>
  <c r="B1591" i="1"/>
  <c r="E1590" i="1"/>
  <c r="B1590" i="1"/>
  <c r="E1589" i="1"/>
  <c r="B1589" i="1"/>
  <c r="E1588" i="1"/>
  <c r="B1588" i="1"/>
  <c r="E1587" i="1"/>
  <c r="B1587" i="1"/>
  <c r="E1586" i="1"/>
  <c r="B1586" i="1"/>
  <c r="E1585" i="1"/>
  <c r="B1585" i="1"/>
  <c r="E1584" i="1"/>
  <c r="B1584" i="1"/>
  <c r="E1583" i="1"/>
  <c r="B1583" i="1"/>
  <c r="E1582" i="1"/>
  <c r="B1582" i="1"/>
  <c r="E1581" i="1"/>
  <c r="B1581" i="1"/>
  <c r="E1580" i="1"/>
  <c r="B1580" i="1"/>
  <c r="E1579" i="1"/>
  <c r="B1579" i="1"/>
  <c r="E1578" i="1"/>
  <c r="B1578" i="1"/>
  <c r="E1577" i="1"/>
  <c r="B1577" i="1"/>
  <c r="E1576" i="1"/>
  <c r="B1576" i="1"/>
  <c r="E1575" i="1"/>
  <c r="B1575" i="1"/>
  <c r="E1574" i="1"/>
  <c r="B1574" i="1"/>
  <c r="E1573" i="1"/>
  <c r="B1573" i="1"/>
  <c r="E1572" i="1"/>
  <c r="B1572" i="1"/>
  <c r="E1571" i="1"/>
  <c r="B1571" i="1"/>
  <c r="E1570" i="1"/>
  <c r="B1570" i="1"/>
  <c r="E1569" i="1"/>
  <c r="B1569" i="1"/>
  <c r="E1568" i="1"/>
  <c r="B1568" i="1"/>
  <c r="E1567" i="1"/>
  <c r="B1567" i="1"/>
  <c r="E1566" i="1"/>
  <c r="B1566" i="1"/>
  <c r="E1565" i="1"/>
  <c r="B1565" i="1"/>
  <c r="E1564" i="1"/>
  <c r="B1564" i="1"/>
  <c r="E1563" i="1"/>
  <c r="B1563" i="1"/>
  <c r="E1562" i="1"/>
  <c r="B1562" i="1"/>
  <c r="E1561" i="1"/>
  <c r="B1561" i="1"/>
  <c r="E1560" i="1"/>
  <c r="B1560" i="1"/>
  <c r="E1559" i="1"/>
  <c r="B1559" i="1"/>
  <c r="E1558" i="1"/>
  <c r="B1558" i="1"/>
  <c r="E1557" i="1"/>
  <c r="B1557" i="1"/>
  <c r="E1556" i="1"/>
  <c r="B1556" i="1"/>
  <c r="E1555" i="1"/>
  <c r="B1555" i="1"/>
  <c r="E1554" i="1"/>
  <c r="B1554" i="1"/>
  <c r="E1553" i="1"/>
  <c r="B1553" i="1"/>
  <c r="E1552" i="1"/>
  <c r="B1552" i="1"/>
  <c r="E1551" i="1"/>
  <c r="B1551" i="1"/>
  <c r="E1550" i="1"/>
  <c r="B1550" i="1"/>
  <c r="E1549" i="1"/>
  <c r="B1549" i="1"/>
  <c r="E1548" i="1"/>
  <c r="B1548" i="1"/>
  <c r="E1547" i="1"/>
  <c r="B1547" i="1"/>
  <c r="E1546" i="1"/>
  <c r="B1546" i="1"/>
  <c r="E1545" i="1"/>
  <c r="B1545" i="1"/>
  <c r="E1544" i="1"/>
  <c r="B1544" i="1"/>
  <c r="E1543" i="1"/>
  <c r="B1543" i="1"/>
  <c r="E1542" i="1"/>
  <c r="B1542" i="1"/>
  <c r="E1541" i="1"/>
  <c r="B1541" i="1"/>
  <c r="E1540" i="1"/>
  <c r="B1540" i="1"/>
  <c r="E1539" i="1"/>
  <c r="B1539" i="1"/>
  <c r="E1538" i="1"/>
  <c r="B1538" i="1"/>
  <c r="E1537" i="1"/>
  <c r="B1537" i="1"/>
  <c r="E1536" i="1"/>
  <c r="B1536" i="1"/>
  <c r="E1535" i="1"/>
  <c r="B1535" i="1"/>
  <c r="E1534" i="1"/>
  <c r="B1534" i="1"/>
  <c r="E1533" i="1"/>
  <c r="E1532" i="1"/>
  <c r="B1532" i="1"/>
  <c r="E1531" i="1"/>
  <c r="B1531" i="1"/>
  <c r="E1530" i="1"/>
  <c r="B1530" i="1"/>
  <c r="E1529" i="1"/>
  <c r="B1529" i="1"/>
  <c r="E1528" i="1"/>
  <c r="B1528" i="1"/>
  <c r="E1527" i="1"/>
  <c r="B1527" i="1"/>
  <c r="E1526" i="1"/>
  <c r="B1526" i="1"/>
  <c r="E1525" i="1"/>
  <c r="B1525" i="1"/>
  <c r="E1524" i="1"/>
  <c r="B1524" i="1"/>
  <c r="E1523" i="1"/>
  <c r="B1523" i="1"/>
  <c r="E1522" i="1"/>
  <c r="B1522" i="1"/>
  <c r="E1521" i="1"/>
  <c r="B1521" i="1"/>
  <c r="E1520" i="1"/>
  <c r="B1520" i="1"/>
  <c r="E1519" i="1"/>
  <c r="B1519" i="1"/>
  <c r="E1518" i="1"/>
  <c r="B1518" i="1"/>
  <c r="E1517" i="1"/>
  <c r="B1517" i="1"/>
  <c r="E1516" i="1"/>
  <c r="B1516" i="1"/>
  <c r="E1515" i="1"/>
  <c r="B1515" i="1"/>
  <c r="E1514" i="1"/>
  <c r="B1514" i="1"/>
  <c r="E1513" i="1"/>
  <c r="B1513" i="1"/>
  <c r="E1512" i="1"/>
  <c r="B1512" i="1"/>
  <c r="E1511" i="1"/>
  <c r="B1511" i="1"/>
  <c r="E1510" i="1"/>
  <c r="B1510" i="1"/>
  <c r="E1509" i="1"/>
  <c r="B1509" i="1"/>
  <c r="E1508" i="1"/>
  <c r="B1508" i="1"/>
  <c r="E1507" i="1"/>
  <c r="B1507" i="1"/>
  <c r="E1506" i="1"/>
  <c r="B1506" i="1"/>
  <c r="E1505" i="1"/>
  <c r="B1505" i="1"/>
  <c r="E1504" i="1"/>
  <c r="B1504" i="1"/>
  <c r="E1503" i="1"/>
  <c r="B1503" i="1"/>
  <c r="E1502" i="1"/>
  <c r="B1502" i="1"/>
  <c r="E1501" i="1"/>
  <c r="B1501" i="1"/>
  <c r="E1500" i="1"/>
  <c r="B1500" i="1"/>
  <c r="E1499" i="1"/>
  <c r="B1499" i="1"/>
  <c r="E1498" i="1"/>
  <c r="B1498" i="1"/>
  <c r="E1497" i="1"/>
  <c r="B1497" i="1"/>
  <c r="E1496" i="1"/>
  <c r="B1496" i="1"/>
  <c r="E1495" i="1"/>
  <c r="B1495" i="1"/>
  <c r="E1494" i="1"/>
  <c r="B1494" i="1"/>
  <c r="E1493" i="1"/>
  <c r="B1493" i="1"/>
  <c r="E1492" i="1"/>
  <c r="B1492" i="1"/>
  <c r="E1491" i="1"/>
  <c r="B1491" i="1"/>
  <c r="E1490" i="1"/>
  <c r="B1490" i="1"/>
  <c r="E1489" i="1"/>
  <c r="B1489" i="1"/>
  <c r="E1488" i="1"/>
  <c r="B1488" i="1"/>
  <c r="E1487" i="1"/>
  <c r="B1487" i="1"/>
  <c r="E1486" i="1"/>
  <c r="B1486" i="1"/>
  <c r="E1485" i="1"/>
  <c r="B1485" i="1"/>
  <c r="E1484" i="1"/>
  <c r="B1484" i="1"/>
  <c r="E1483" i="1"/>
  <c r="B1483" i="1"/>
  <c r="E1482" i="1"/>
  <c r="B1482" i="1"/>
  <c r="E1481" i="1"/>
  <c r="B1481" i="1"/>
  <c r="E1480" i="1"/>
  <c r="B1480" i="1"/>
  <c r="E1479" i="1"/>
  <c r="B1479" i="1"/>
  <c r="E1478" i="1" l="1"/>
  <c r="B1478" i="1"/>
  <c r="E1477" i="1"/>
  <c r="B1477" i="1"/>
  <c r="E1476" i="1"/>
  <c r="B1476" i="1"/>
  <c r="E1475" i="1"/>
  <c r="B1475" i="1"/>
  <c r="E1474" i="1"/>
  <c r="B1474" i="1"/>
  <c r="E1473" i="1"/>
  <c r="B1473" i="1"/>
  <c r="E1472" i="1"/>
  <c r="B1472" i="1"/>
  <c r="E1471" i="1"/>
  <c r="B1471" i="1"/>
  <c r="E1470" i="1"/>
  <c r="B1470" i="1"/>
  <c r="E1469" i="1"/>
  <c r="B1469" i="1"/>
  <c r="E1468" i="1"/>
  <c r="B1468" i="1"/>
  <c r="E1467" i="1"/>
  <c r="B1467" i="1"/>
  <c r="E1466" i="1"/>
  <c r="B1466" i="1"/>
  <c r="E1465" i="1"/>
  <c r="B1465" i="1"/>
  <c r="E1464" i="1"/>
  <c r="B1464" i="1"/>
  <c r="E1463" i="1"/>
  <c r="B1463" i="1"/>
  <c r="E1462" i="1"/>
  <c r="B1462" i="1"/>
  <c r="E1461" i="1"/>
  <c r="B1461" i="1"/>
  <c r="E1460" i="1"/>
  <c r="B1460" i="1"/>
  <c r="E1459" i="1"/>
  <c r="B1459" i="1"/>
  <c r="E1458" i="1"/>
  <c r="B1458" i="1"/>
  <c r="E1457" i="1"/>
  <c r="B1457" i="1"/>
  <c r="E1456" i="1"/>
  <c r="B1456" i="1"/>
  <c r="E1455" i="1"/>
  <c r="B1455" i="1"/>
  <c r="E1454" i="1"/>
  <c r="B1454" i="1"/>
  <c r="E1453" i="1"/>
  <c r="B1453" i="1"/>
  <c r="E1452" i="1"/>
  <c r="B1452" i="1"/>
  <c r="E1451" i="1"/>
  <c r="B1451" i="1"/>
  <c r="E1450" i="1"/>
  <c r="B1450" i="1"/>
  <c r="E1449" i="1"/>
  <c r="B1449" i="1"/>
  <c r="E1448" i="1"/>
  <c r="B1448" i="1"/>
  <c r="E1447" i="1"/>
  <c r="B1447" i="1"/>
  <c r="E1446" i="1"/>
  <c r="B1446" i="1"/>
  <c r="E1445" i="1"/>
  <c r="B1445" i="1"/>
  <c r="E1444" i="1"/>
  <c r="B1444" i="1"/>
  <c r="E1443" i="1"/>
  <c r="B1443" i="1"/>
  <c r="E1442" i="1"/>
  <c r="B1442" i="1"/>
  <c r="E1441" i="1"/>
  <c r="B1441" i="1"/>
  <c r="E1440" i="1"/>
  <c r="B1440" i="1"/>
  <c r="E1439" i="1"/>
  <c r="B1439" i="1"/>
  <c r="E1438" i="1"/>
  <c r="B1438" i="1"/>
  <c r="E1437" i="1"/>
  <c r="B1437" i="1"/>
  <c r="E1436" i="1"/>
  <c r="B1436" i="1"/>
  <c r="E1435" i="1"/>
  <c r="B1435" i="1"/>
  <c r="E1434" i="1"/>
  <c r="B1434" i="1"/>
  <c r="E1433" i="1"/>
  <c r="B1433" i="1"/>
  <c r="E1432" i="1"/>
  <c r="B1432" i="1"/>
  <c r="E1431" i="1"/>
  <c r="B1431" i="1"/>
  <c r="E1430" i="1"/>
  <c r="B1430" i="1"/>
  <c r="E1429" i="1"/>
  <c r="B1429" i="1"/>
  <c r="E1428" i="1"/>
  <c r="B1428" i="1"/>
  <c r="E1427" i="1"/>
  <c r="B1427" i="1"/>
  <c r="E1426" i="1"/>
  <c r="B1426" i="1"/>
  <c r="E1425" i="1"/>
  <c r="B1425" i="1"/>
  <c r="E1424" i="1"/>
  <c r="B1424" i="1"/>
  <c r="E1423" i="1"/>
  <c r="B1423" i="1"/>
  <c r="E1422" i="1"/>
  <c r="B1422" i="1"/>
  <c r="E1421" i="1"/>
  <c r="B1421" i="1"/>
  <c r="E1420" i="1"/>
  <c r="B1420" i="1"/>
  <c r="E1419" i="1"/>
  <c r="B1419" i="1"/>
  <c r="E1418" i="1"/>
  <c r="B1418" i="1"/>
  <c r="E1417" i="1"/>
  <c r="B1417" i="1"/>
  <c r="E1416" i="1"/>
  <c r="B1416" i="1"/>
  <c r="E1415" i="1"/>
  <c r="B1415" i="1"/>
  <c r="E1414" i="1"/>
  <c r="B1414" i="1"/>
  <c r="E1413" i="1"/>
  <c r="B1413" i="1"/>
  <c r="E1412" i="1"/>
  <c r="B1412" i="1"/>
  <c r="E1411" i="1"/>
  <c r="B1411" i="1"/>
  <c r="E1410" i="1"/>
  <c r="B1410" i="1"/>
  <c r="E1409" i="1"/>
  <c r="B1409" i="1"/>
  <c r="E1408" i="1"/>
  <c r="B1408" i="1"/>
  <c r="E1407" i="1"/>
  <c r="B1407" i="1"/>
  <c r="E1406" i="1"/>
  <c r="B1406" i="1"/>
  <c r="E1405" i="1"/>
  <c r="B1405" i="1"/>
  <c r="E1404" i="1"/>
  <c r="B1404" i="1"/>
  <c r="E1403" i="1"/>
  <c r="B1403" i="1"/>
  <c r="E1402" i="1"/>
  <c r="B1402" i="1"/>
  <c r="E1401" i="1"/>
  <c r="B1401" i="1"/>
  <c r="E1400" i="1"/>
  <c r="B1400" i="1"/>
  <c r="E1399" i="1"/>
  <c r="B1399" i="1"/>
  <c r="E1398" i="1"/>
  <c r="B1398" i="1"/>
  <c r="E1397" i="1"/>
  <c r="B1397" i="1"/>
  <c r="E1396" i="1"/>
  <c r="B1396" i="1"/>
  <c r="E1395" i="1"/>
  <c r="B1395" i="1"/>
  <c r="E1394" i="1"/>
  <c r="B1394" i="1"/>
  <c r="E1393" i="1"/>
  <c r="B1393" i="1"/>
  <c r="E1392" i="1"/>
  <c r="B1392" i="1"/>
  <c r="E1391" i="1"/>
  <c r="B1391" i="1"/>
  <c r="E1390" i="1"/>
  <c r="B1390" i="1"/>
  <c r="E1389" i="1"/>
  <c r="B1389" i="1"/>
  <c r="E1388" i="1"/>
  <c r="B1388" i="1"/>
  <c r="E1387" i="1"/>
  <c r="B1387" i="1"/>
  <c r="E1386" i="1"/>
  <c r="B1386" i="1"/>
  <c r="E1385" i="1"/>
  <c r="B1385" i="1"/>
  <c r="E1384" i="1"/>
  <c r="B1384" i="1"/>
  <c r="E1383" i="1"/>
  <c r="B1383" i="1"/>
  <c r="E1382" i="1"/>
  <c r="B1382" i="1"/>
  <c r="E1381" i="1"/>
  <c r="B1381" i="1"/>
  <c r="E1380" i="1"/>
  <c r="B1380" i="1"/>
  <c r="E1379" i="1"/>
  <c r="B1379" i="1"/>
  <c r="E1378" i="1"/>
  <c r="B1378" i="1"/>
  <c r="E1377" i="1"/>
  <c r="B1377" i="1"/>
  <c r="E1376" i="1"/>
  <c r="B1376" i="1"/>
  <c r="E1375" i="1"/>
  <c r="B1375" i="1"/>
  <c r="E1374" i="1"/>
  <c r="B1374" i="1"/>
  <c r="E1373" i="1"/>
  <c r="B1373" i="1"/>
  <c r="E1372" i="1"/>
  <c r="B1372" i="1"/>
  <c r="E1371" i="1"/>
  <c r="B1371" i="1"/>
  <c r="E1370" i="1"/>
  <c r="B1370" i="1"/>
  <c r="E1369" i="1"/>
  <c r="B1369" i="1"/>
  <c r="E1368" i="1"/>
  <c r="B1368" i="1"/>
  <c r="E1367" i="1"/>
  <c r="B1367" i="1"/>
  <c r="E1366" i="1"/>
  <c r="B1366" i="1"/>
  <c r="E1365" i="1"/>
  <c r="B1365" i="1"/>
  <c r="E1364" i="1"/>
  <c r="B1364" i="1"/>
  <c r="E1363" i="1"/>
  <c r="B1363" i="1"/>
  <c r="E1362" i="1"/>
  <c r="B1362" i="1"/>
  <c r="E1361" i="1"/>
  <c r="B1361" i="1"/>
  <c r="E1360" i="1"/>
  <c r="B1360" i="1"/>
  <c r="E1359" i="1"/>
  <c r="B1359" i="1"/>
  <c r="E1358" i="1"/>
  <c r="B1358" i="1"/>
  <c r="E1357" i="1"/>
  <c r="B1357" i="1"/>
  <c r="E1356" i="1"/>
  <c r="B1356" i="1"/>
  <c r="E1355" i="1"/>
  <c r="B1355" i="1"/>
  <c r="E1354" i="1"/>
  <c r="B1354" i="1"/>
  <c r="E1353" i="1"/>
  <c r="B1353" i="1"/>
  <c r="E1352" i="1"/>
  <c r="B1352" i="1"/>
  <c r="E1351" i="1"/>
  <c r="B1351" i="1"/>
  <c r="E1350" i="1"/>
  <c r="B1350" i="1"/>
  <c r="E1349" i="1"/>
  <c r="B1349" i="1"/>
  <c r="E1348" i="1"/>
  <c r="B1348" i="1"/>
  <c r="E1347" i="1"/>
  <c r="B1347" i="1"/>
  <c r="E1346" i="1"/>
  <c r="B1346" i="1"/>
  <c r="E1345" i="1"/>
  <c r="B1345" i="1"/>
  <c r="E1344" i="1"/>
  <c r="B1344" i="1"/>
  <c r="E1343" i="1"/>
  <c r="B1343" i="1"/>
  <c r="E1342" i="1"/>
  <c r="B1342" i="1"/>
  <c r="E1341" i="1"/>
  <c r="B1341" i="1"/>
  <c r="E1340" i="1"/>
  <c r="B1340" i="1"/>
  <c r="E1339" i="1"/>
  <c r="B1339" i="1"/>
  <c r="E1338" i="1"/>
  <c r="B1338" i="1"/>
  <c r="E1337" i="1"/>
  <c r="B1337" i="1"/>
  <c r="E1336" i="1"/>
  <c r="B1336" i="1"/>
  <c r="E1335" i="1"/>
  <c r="B1335" i="1"/>
  <c r="E1334" i="1"/>
  <c r="B1334" i="1"/>
  <c r="E1333" i="1"/>
  <c r="B1333" i="1"/>
  <c r="E1332" i="1"/>
  <c r="B1332" i="1"/>
  <c r="E1331" i="1"/>
  <c r="B1331" i="1"/>
  <c r="E1330" i="1"/>
  <c r="B1330" i="1"/>
  <c r="E1329" i="1"/>
  <c r="B1329" i="1"/>
  <c r="E1328" i="1"/>
  <c r="B1328" i="1"/>
  <c r="E1327" i="1"/>
  <c r="B1327" i="1"/>
  <c r="E1326" i="1"/>
  <c r="B1326" i="1"/>
  <c r="E1325" i="1"/>
  <c r="B1325" i="1"/>
  <c r="E1324" i="1"/>
  <c r="B1324" i="1"/>
  <c r="E1323" i="1"/>
  <c r="B1323" i="1"/>
  <c r="E1322" i="1"/>
  <c r="B1322" i="1"/>
  <c r="E1321" i="1"/>
  <c r="B1321" i="1"/>
  <c r="E1320" i="1"/>
  <c r="B1320" i="1"/>
  <c r="E1319" i="1"/>
  <c r="B1319" i="1"/>
  <c r="E1318" i="1"/>
  <c r="B1318" i="1"/>
  <c r="E1317" i="1"/>
  <c r="B1317" i="1"/>
  <c r="E1316" i="1"/>
  <c r="B1316" i="1"/>
  <c r="E1315" i="1"/>
  <c r="B1315" i="1"/>
  <c r="E1314" i="1"/>
  <c r="B1314" i="1"/>
  <c r="E1313" i="1"/>
  <c r="B1313" i="1"/>
  <c r="E1312" i="1"/>
  <c r="B1312" i="1"/>
  <c r="E1311" i="1"/>
  <c r="B1311" i="1"/>
  <c r="E1310" i="1"/>
  <c r="B1310" i="1"/>
  <c r="E1309" i="1"/>
  <c r="B1309" i="1"/>
  <c r="E1308" i="1"/>
  <c r="B1308" i="1"/>
  <c r="E1307" i="1"/>
  <c r="B1307" i="1"/>
  <c r="E1306" i="1"/>
  <c r="B1306" i="1"/>
  <c r="E1305" i="1"/>
  <c r="B1305" i="1"/>
  <c r="E1304" i="1"/>
  <c r="B1304" i="1"/>
  <c r="E1303" i="1"/>
  <c r="B1303" i="1"/>
  <c r="E1302" i="1"/>
  <c r="B1302" i="1"/>
  <c r="E1301" i="1"/>
  <c r="B1301" i="1"/>
  <c r="E1300" i="1"/>
  <c r="B1300" i="1"/>
  <c r="E1299" i="1"/>
  <c r="B1299" i="1"/>
  <c r="E1298" i="1"/>
  <c r="B1298" i="1"/>
  <c r="E1297" i="1"/>
  <c r="B1297" i="1"/>
  <c r="E1296" i="1"/>
  <c r="B1296" i="1"/>
  <c r="E1295" i="1"/>
  <c r="B1295" i="1"/>
  <c r="E1294" i="1"/>
  <c r="B1294" i="1"/>
  <c r="E1293" i="1"/>
  <c r="B1293" i="1"/>
  <c r="E1292" i="1"/>
  <c r="B1292" i="1"/>
  <c r="E1291" i="1"/>
  <c r="B1291" i="1"/>
  <c r="E1290" i="1"/>
  <c r="B1290" i="1"/>
  <c r="E1289" i="1"/>
  <c r="B1289" i="1"/>
  <c r="E1288" i="1"/>
  <c r="B1288" i="1"/>
  <c r="E1287" i="1"/>
  <c r="B1287" i="1"/>
  <c r="E1286" i="1"/>
  <c r="B1286" i="1"/>
  <c r="E1285" i="1"/>
  <c r="B1285" i="1"/>
  <c r="E1284" i="1"/>
  <c r="B1284" i="1"/>
  <c r="E1283" i="1"/>
  <c r="B1283" i="1"/>
  <c r="E1282" i="1"/>
  <c r="B1282" i="1"/>
  <c r="E1281" i="1"/>
  <c r="B1281" i="1"/>
  <c r="E1280" i="1"/>
  <c r="B1280" i="1"/>
  <c r="E1279" i="1"/>
  <c r="B1279" i="1"/>
  <c r="E1278" i="1"/>
  <c r="B1278" i="1"/>
  <c r="B940" i="1" l="1"/>
  <c r="B1277" i="1"/>
  <c r="E1276" i="1"/>
  <c r="B1276" i="1"/>
  <c r="E1275" i="1"/>
  <c r="B1275" i="1"/>
  <c r="E1274" i="1"/>
  <c r="B1274" i="1"/>
  <c r="E1273" i="1"/>
  <c r="B1273" i="1"/>
  <c r="E1272" i="1"/>
  <c r="B1272" i="1"/>
  <c r="E1271" i="1"/>
  <c r="B1271" i="1"/>
  <c r="E1270" i="1"/>
  <c r="B1270" i="1"/>
  <c r="E1269" i="1"/>
  <c r="B1269" i="1"/>
  <c r="E1268" i="1"/>
  <c r="B1268" i="1"/>
  <c r="E1267" i="1"/>
  <c r="B1267" i="1"/>
  <c r="E1266" i="1"/>
  <c r="B1266" i="1"/>
  <c r="E1265" i="1"/>
  <c r="B1265" i="1"/>
  <c r="E1264" i="1"/>
  <c r="B1264" i="1"/>
  <c r="E1263" i="1"/>
  <c r="B1263" i="1"/>
  <c r="E1262" i="1"/>
  <c r="B1262" i="1"/>
  <c r="E1261" i="1"/>
  <c r="B1261" i="1"/>
  <c r="E1260" i="1"/>
  <c r="B1260" i="1"/>
  <c r="E1259" i="1"/>
  <c r="B1259" i="1"/>
  <c r="E1258" i="1"/>
  <c r="B1258" i="1"/>
  <c r="E1257" i="1"/>
  <c r="B1257" i="1"/>
  <c r="E1256" i="1"/>
  <c r="B1256" i="1"/>
  <c r="E1255" i="1"/>
  <c r="B1255" i="1"/>
  <c r="E1254" i="1"/>
  <c r="B1254" i="1"/>
  <c r="E1253" i="1"/>
  <c r="B1253" i="1"/>
  <c r="E1252" i="1"/>
  <c r="B1252" i="1"/>
  <c r="E1251" i="1"/>
  <c r="B1251" i="1"/>
  <c r="E1250" i="1"/>
  <c r="B1250" i="1"/>
  <c r="E1249" i="1"/>
  <c r="B1249" i="1"/>
  <c r="E1248" i="1"/>
  <c r="B1248" i="1"/>
  <c r="E1247" i="1"/>
  <c r="B1247" i="1"/>
  <c r="E1246" i="1"/>
  <c r="B1246" i="1"/>
  <c r="E1245" i="1"/>
  <c r="B1245" i="1"/>
  <c r="E1244" i="1"/>
  <c r="B1244" i="1"/>
  <c r="E1243" i="1"/>
  <c r="B1243" i="1"/>
  <c r="E1242" i="1"/>
  <c r="B1242" i="1"/>
  <c r="E1241" i="1"/>
  <c r="B1241" i="1"/>
  <c r="E1240" i="1"/>
  <c r="B1240" i="1"/>
  <c r="E1239" i="1"/>
  <c r="B1239" i="1"/>
  <c r="E1238" i="1"/>
  <c r="B1238" i="1"/>
  <c r="E1237" i="1"/>
  <c r="B1237" i="1"/>
  <c r="E1236" i="1"/>
  <c r="B1236" i="1"/>
  <c r="E1235" i="1"/>
  <c r="B1235" i="1"/>
  <c r="E1234" i="1"/>
  <c r="B1234" i="1"/>
  <c r="E1233" i="1"/>
  <c r="B1233" i="1"/>
  <c r="E1232" i="1"/>
  <c r="B1232" i="1"/>
  <c r="E1231" i="1"/>
  <c r="B1231" i="1"/>
  <c r="E1230" i="1"/>
  <c r="B1230" i="1"/>
  <c r="E1229" i="1"/>
  <c r="B1229" i="1"/>
  <c r="E1228" i="1"/>
  <c r="B1228" i="1"/>
  <c r="E1227" i="1"/>
  <c r="B1227" i="1"/>
  <c r="E1226" i="1"/>
  <c r="B1226" i="1"/>
  <c r="E1225" i="1"/>
  <c r="B1225" i="1"/>
  <c r="E1224" i="1"/>
  <c r="B1224" i="1"/>
  <c r="E1223" i="1"/>
  <c r="B1223" i="1"/>
  <c r="E1222" i="1"/>
  <c r="B1222" i="1"/>
  <c r="E1221" i="1"/>
  <c r="B1221" i="1"/>
  <c r="E1220" i="1"/>
  <c r="B1220" i="1"/>
  <c r="E1219" i="1"/>
  <c r="B1219" i="1"/>
  <c r="E1218" i="1"/>
  <c r="B1218" i="1"/>
  <c r="E1217" i="1"/>
  <c r="B1217" i="1"/>
  <c r="E1216" i="1"/>
  <c r="B1216" i="1"/>
  <c r="E1215" i="1"/>
  <c r="B1215" i="1"/>
  <c r="E1214" i="1"/>
  <c r="B1214" i="1"/>
  <c r="E1213" i="1"/>
  <c r="B1213" i="1"/>
  <c r="E1212" i="1"/>
  <c r="B1212" i="1"/>
  <c r="E1211" i="1"/>
  <c r="B1211" i="1"/>
  <c r="E1210" i="1"/>
  <c r="B1210" i="1"/>
  <c r="E1209" i="1"/>
  <c r="B1209" i="1"/>
  <c r="E1208" i="1"/>
  <c r="B1208" i="1"/>
  <c r="E1207" i="1"/>
  <c r="B1207" i="1"/>
  <c r="E1206" i="1"/>
  <c r="B1206" i="1"/>
  <c r="E1205" i="1"/>
  <c r="B1205" i="1"/>
  <c r="E1204" i="1"/>
  <c r="B1204" i="1"/>
  <c r="E1203" i="1"/>
  <c r="B1203" i="1"/>
  <c r="E1202" i="1"/>
  <c r="B1202" i="1"/>
  <c r="E1201" i="1"/>
  <c r="B1201" i="1"/>
  <c r="E1200" i="1"/>
  <c r="B1200" i="1"/>
  <c r="E1199" i="1"/>
  <c r="B1199" i="1"/>
  <c r="E1198" i="1"/>
  <c r="B1198" i="1"/>
  <c r="E1197" i="1"/>
  <c r="B1197" i="1"/>
  <c r="E1196" i="1"/>
  <c r="B1196" i="1"/>
  <c r="E1195" i="1"/>
  <c r="B1195" i="1"/>
  <c r="E1194" i="1"/>
  <c r="B1194" i="1"/>
  <c r="E1193" i="1"/>
  <c r="B1193" i="1"/>
  <c r="E1192" i="1"/>
  <c r="B1192" i="1"/>
  <c r="E1191" i="1"/>
  <c r="B1191" i="1"/>
  <c r="E1190" i="1"/>
  <c r="B1190" i="1"/>
  <c r="E1189" i="1"/>
  <c r="B1189" i="1"/>
  <c r="E1188" i="1"/>
  <c r="B1188" i="1"/>
  <c r="E1187" i="1"/>
  <c r="B1187" i="1"/>
  <c r="E1186" i="1"/>
  <c r="B1186" i="1"/>
  <c r="E1185" i="1"/>
  <c r="B1185" i="1"/>
  <c r="E1184" i="1"/>
  <c r="B1184" i="1"/>
  <c r="E1183" i="1"/>
  <c r="B1183" i="1"/>
  <c r="E1182" i="1"/>
  <c r="B1182" i="1"/>
  <c r="E1181" i="1"/>
  <c r="B1181" i="1"/>
  <c r="E1180" i="1"/>
  <c r="B1180" i="1"/>
  <c r="E1179" i="1"/>
  <c r="B1179" i="1"/>
  <c r="E1178" i="1"/>
  <c r="B1178" i="1"/>
  <c r="E1177" i="1"/>
  <c r="B1177" i="1"/>
  <c r="E1176" i="1"/>
  <c r="B1176" i="1"/>
  <c r="E1175" i="1"/>
  <c r="B1175" i="1"/>
  <c r="E1174" i="1"/>
  <c r="B1174" i="1"/>
  <c r="E1173" i="1"/>
  <c r="B1173" i="1"/>
  <c r="E1172" i="1"/>
  <c r="B1172" i="1"/>
  <c r="E1171" i="1"/>
  <c r="B1171" i="1"/>
  <c r="E1170" i="1"/>
  <c r="B1170" i="1"/>
  <c r="E1169" i="1"/>
  <c r="B1169" i="1"/>
  <c r="E1168" i="1"/>
  <c r="B1168" i="1"/>
  <c r="E1167" i="1"/>
  <c r="B1167" i="1"/>
  <c r="E1166" i="1"/>
  <c r="B1166" i="1"/>
  <c r="E1165" i="1"/>
  <c r="B1165" i="1"/>
  <c r="E1164" i="1"/>
  <c r="B1164" i="1"/>
  <c r="E1163" i="1"/>
  <c r="B1163" i="1"/>
  <c r="E1162" i="1"/>
  <c r="B1162" i="1"/>
  <c r="E1161" i="1"/>
  <c r="B1161" i="1"/>
  <c r="E1160" i="1"/>
  <c r="B1160" i="1"/>
  <c r="E1159" i="1"/>
  <c r="B1159" i="1"/>
  <c r="E1158" i="1"/>
  <c r="B1158" i="1"/>
  <c r="E1157" i="1"/>
  <c r="B1157" i="1"/>
  <c r="E1156" i="1"/>
  <c r="B1156" i="1"/>
  <c r="E1155" i="1"/>
  <c r="B1155" i="1"/>
  <c r="E1154" i="1"/>
  <c r="B1154" i="1"/>
  <c r="E1153" i="1"/>
  <c r="B1153" i="1"/>
  <c r="E1152" i="1"/>
  <c r="B1152" i="1"/>
  <c r="E1151" i="1"/>
  <c r="B1151" i="1"/>
  <c r="E1150" i="1"/>
  <c r="B1150" i="1"/>
  <c r="E1149" i="1"/>
  <c r="B1149" i="1"/>
  <c r="E1148" i="1"/>
  <c r="B1148" i="1"/>
  <c r="E1147" i="1"/>
  <c r="B1147" i="1"/>
  <c r="E1146" i="1"/>
  <c r="B1146" i="1"/>
  <c r="E1145" i="1"/>
  <c r="B1145" i="1"/>
  <c r="E1144" i="1"/>
  <c r="B1144" i="1"/>
  <c r="E1143" i="1"/>
  <c r="B1143" i="1"/>
  <c r="E1142" i="1"/>
  <c r="B1142" i="1"/>
  <c r="E1141" i="1"/>
  <c r="B1141" i="1"/>
  <c r="E1140" i="1"/>
  <c r="B1140" i="1"/>
  <c r="E1139" i="1"/>
  <c r="B1139" i="1"/>
  <c r="E1138" i="1"/>
  <c r="B1138" i="1"/>
  <c r="E1137" i="1"/>
  <c r="B1137" i="1"/>
  <c r="E1136" i="1"/>
  <c r="B1136" i="1"/>
  <c r="E1135" i="1"/>
  <c r="B1135" i="1"/>
  <c r="E1134" i="1"/>
  <c r="B1134" i="1"/>
  <c r="E1133" i="1"/>
  <c r="B1133" i="1"/>
  <c r="E1132" i="1"/>
  <c r="B1132" i="1"/>
  <c r="E1131" i="1"/>
  <c r="B1131" i="1"/>
  <c r="E1130" i="1"/>
  <c r="B1130" i="1"/>
  <c r="E1129" i="1"/>
  <c r="B1129" i="1"/>
  <c r="E1128" i="1"/>
  <c r="B1128" i="1"/>
  <c r="E1127" i="1"/>
  <c r="B1127" i="1"/>
  <c r="E1126" i="1"/>
  <c r="B1126" i="1"/>
  <c r="E1125" i="1"/>
  <c r="B1125" i="1"/>
  <c r="E1124" i="1"/>
  <c r="B1124" i="1"/>
  <c r="E1123" i="1"/>
  <c r="B1123" i="1"/>
  <c r="E1122" i="1"/>
  <c r="B1122" i="1"/>
  <c r="E1121" i="1"/>
  <c r="B1121" i="1"/>
  <c r="E1120" i="1"/>
  <c r="B1120" i="1"/>
  <c r="E1119" i="1"/>
  <c r="B1119" i="1"/>
  <c r="E1118" i="1"/>
  <c r="B1118" i="1"/>
  <c r="E1117" i="1"/>
  <c r="B1117" i="1"/>
  <c r="E1116" i="1"/>
  <c r="B1116" i="1"/>
  <c r="E1115" i="1"/>
  <c r="B1115" i="1"/>
  <c r="E1114" i="1"/>
  <c r="B1114" i="1"/>
  <c r="E1113" i="1"/>
  <c r="B1113" i="1"/>
  <c r="E1112" i="1"/>
  <c r="B1112" i="1"/>
  <c r="E1111" i="1"/>
  <c r="B1111" i="1"/>
  <c r="E1110" i="1"/>
  <c r="B1110" i="1"/>
  <c r="E1109" i="1"/>
  <c r="B1109" i="1"/>
  <c r="E1108" i="1"/>
  <c r="B1108" i="1"/>
  <c r="E1107" i="1"/>
  <c r="B1107" i="1"/>
  <c r="E1106" i="1"/>
  <c r="B1106" i="1"/>
  <c r="E1105" i="1"/>
  <c r="B1105" i="1"/>
  <c r="E1104" i="1"/>
  <c r="B1104" i="1"/>
  <c r="E1103" i="1"/>
  <c r="B1103" i="1"/>
  <c r="E1102" i="1"/>
  <c r="B1102" i="1"/>
  <c r="E1101" i="1"/>
  <c r="B1101" i="1"/>
  <c r="E1100" i="1"/>
  <c r="B1100" i="1"/>
  <c r="E1099" i="1"/>
  <c r="B1099" i="1"/>
  <c r="E1098" i="1"/>
  <c r="B1098" i="1"/>
  <c r="E1097" i="1" l="1"/>
  <c r="B1097" i="1"/>
  <c r="E1096" i="1"/>
  <c r="B1096" i="1"/>
  <c r="E1095" i="1"/>
  <c r="B1095" i="1"/>
  <c r="E1094" i="1"/>
  <c r="B1094" i="1"/>
  <c r="E1093" i="1"/>
  <c r="B1093" i="1"/>
  <c r="E1092" i="1"/>
  <c r="B1092" i="1"/>
  <c r="E1091" i="1"/>
  <c r="B1091" i="1"/>
  <c r="E1090" i="1"/>
  <c r="B1090" i="1"/>
  <c r="E1089" i="1"/>
  <c r="B1089" i="1"/>
  <c r="E1088" i="1"/>
  <c r="B1088" i="1"/>
  <c r="E1087" i="1"/>
  <c r="B1087" i="1"/>
  <c r="E1086" i="1"/>
  <c r="B1086" i="1"/>
  <c r="E1085" i="1"/>
  <c r="B1085" i="1"/>
  <c r="E1084" i="1"/>
  <c r="B1084" i="1"/>
  <c r="E1083" i="1"/>
  <c r="B1083" i="1"/>
  <c r="E1082" i="1"/>
  <c r="B1082" i="1"/>
  <c r="E1081" i="1"/>
  <c r="B1081" i="1"/>
  <c r="E1080" i="1"/>
  <c r="B1080" i="1"/>
  <c r="E1079" i="1"/>
  <c r="B1079" i="1"/>
  <c r="E1078" i="1"/>
  <c r="B1078" i="1"/>
  <c r="E1077" i="1"/>
  <c r="B1077" i="1"/>
  <c r="E1076" i="1"/>
  <c r="B1076" i="1"/>
  <c r="E1075" i="1"/>
  <c r="B1075" i="1"/>
  <c r="E1074" i="1"/>
  <c r="B1074" i="1"/>
  <c r="E1073" i="1"/>
  <c r="B1073" i="1"/>
  <c r="E1072" i="1"/>
  <c r="B1072" i="1"/>
  <c r="E1071" i="1"/>
  <c r="B1071" i="1"/>
  <c r="E1070" i="1"/>
  <c r="B1070" i="1"/>
  <c r="E1069" i="1"/>
  <c r="B1069" i="1"/>
  <c r="E1068" i="1"/>
  <c r="B1068" i="1"/>
  <c r="E1067" i="1"/>
  <c r="B1067" i="1"/>
  <c r="E1066" i="1"/>
  <c r="B1066" i="1"/>
  <c r="E1065" i="1"/>
  <c r="B1065" i="1"/>
  <c r="E1064" i="1"/>
  <c r="B1064" i="1"/>
  <c r="E1063" i="1"/>
  <c r="B1063" i="1"/>
  <c r="E1062" i="1"/>
  <c r="B1062" i="1"/>
  <c r="E1061" i="1"/>
  <c r="B1061" i="1"/>
  <c r="E1060" i="1"/>
  <c r="B1060" i="1"/>
  <c r="E1059" i="1"/>
  <c r="B1059" i="1"/>
  <c r="E1058" i="1"/>
  <c r="B1058" i="1"/>
  <c r="E1057" i="1"/>
  <c r="B1057" i="1"/>
  <c r="E1056" i="1"/>
  <c r="B1056" i="1"/>
  <c r="E1055" i="1"/>
  <c r="B1055" i="1"/>
  <c r="E1054" i="1"/>
  <c r="B1054" i="1"/>
  <c r="E1053" i="1"/>
  <c r="B1053" i="1"/>
  <c r="E1052" i="1"/>
  <c r="B1052" i="1"/>
  <c r="E1051" i="1"/>
  <c r="B1051" i="1"/>
  <c r="E1050" i="1"/>
  <c r="B1050" i="1"/>
  <c r="E1049" i="1"/>
  <c r="B1049" i="1"/>
  <c r="E1048" i="1"/>
  <c r="B1048" i="1"/>
  <c r="E1047" i="1"/>
  <c r="B1047" i="1"/>
  <c r="E1046" i="1"/>
  <c r="B1046" i="1"/>
  <c r="E1045" i="1"/>
  <c r="B1045" i="1"/>
  <c r="E1044" i="1"/>
  <c r="B1044" i="1"/>
  <c r="E1043" i="1"/>
  <c r="B1043" i="1"/>
  <c r="E1042" i="1"/>
  <c r="B1042" i="1"/>
  <c r="E1041" i="1"/>
  <c r="B1041" i="1"/>
  <c r="E1040" i="1"/>
  <c r="B1040" i="1"/>
  <c r="E1039" i="1"/>
  <c r="B1039" i="1"/>
  <c r="E1038" i="1"/>
  <c r="B1038" i="1"/>
  <c r="E1037" i="1"/>
  <c r="B1037" i="1"/>
  <c r="E1036" i="1"/>
  <c r="B1036" i="1"/>
  <c r="E1035" i="1"/>
  <c r="B1035" i="1"/>
  <c r="E1034" i="1"/>
  <c r="B1034" i="1"/>
  <c r="E1033" i="1"/>
  <c r="B1033" i="1"/>
  <c r="E1032" i="1"/>
  <c r="B1032" i="1"/>
  <c r="E1031" i="1"/>
  <c r="B1031" i="1"/>
  <c r="E1030" i="1"/>
  <c r="B1030" i="1"/>
  <c r="E1029" i="1"/>
  <c r="B1029" i="1"/>
  <c r="E1028" i="1"/>
  <c r="B1028" i="1"/>
  <c r="E1027" i="1"/>
  <c r="B1027" i="1"/>
  <c r="E1026" i="1"/>
  <c r="B1026" i="1"/>
  <c r="E1025" i="1"/>
  <c r="B1025" i="1"/>
  <c r="E1024" i="1"/>
  <c r="B1024" i="1"/>
  <c r="E1023" i="1"/>
  <c r="B1023" i="1"/>
  <c r="E1022" i="1"/>
  <c r="B1022" i="1"/>
  <c r="E1021" i="1"/>
  <c r="B1021" i="1"/>
  <c r="E1020" i="1"/>
  <c r="B1020" i="1"/>
  <c r="E1019" i="1"/>
  <c r="B1019" i="1"/>
  <c r="E1018" i="1"/>
  <c r="B1018" i="1"/>
  <c r="E1017" i="1"/>
  <c r="B1017" i="1"/>
  <c r="E1016" i="1"/>
  <c r="B1016" i="1"/>
  <c r="E1015" i="1"/>
  <c r="B1015" i="1"/>
  <c r="E1014" i="1"/>
  <c r="B1014" i="1"/>
  <c r="E1013" i="1"/>
  <c r="B1013" i="1"/>
  <c r="E1012" i="1"/>
  <c r="B1012" i="1"/>
  <c r="E1011" i="1"/>
  <c r="B1011" i="1"/>
  <c r="E1010" i="1"/>
  <c r="B1010" i="1"/>
  <c r="E1009" i="1"/>
  <c r="B1009" i="1"/>
  <c r="E1008" i="1"/>
  <c r="B1008" i="1"/>
  <c r="E1007" i="1"/>
  <c r="B1007" i="1"/>
  <c r="E1006" i="1"/>
  <c r="B1006" i="1"/>
  <c r="E1005" i="1"/>
  <c r="B1005" i="1"/>
  <c r="E1004" i="1"/>
  <c r="B1004" i="1"/>
  <c r="E1003" i="1"/>
  <c r="B1003" i="1"/>
  <c r="E1002" i="1"/>
  <c r="B1002" i="1"/>
  <c r="E1001" i="1"/>
  <c r="B1001" i="1"/>
  <c r="E1000" i="1"/>
  <c r="B1000" i="1"/>
  <c r="E999" i="1"/>
  <c r="B999" i="1"/>
  <c r="E998" i="1"/>
  <c r="B998" i="1"/>
  <c r="E997" i="1"/>
  <c r="B997" i="1"/>
  <c r="E996" i="1"/>
  <c r="B996" i="1"/>
  <c r="E995" i="1"/>
  <c r="B995" i="1"/>
  <c r="E994" i="1"/>
  <c r="B994" i="1"/>
  <c r="E993" i="1"/>
  <c r="B993" i="1"/>
  <c r="E992" i="1"/>
  <c r="B992" i="1"/>
  <c r="E991" i="1"/>
  <c r="B991" i="1"/>
  <c r="E990" i="1"/>
  <c r="B990" i="1"/>
  <c r="E989" i="1"/>
  <c r="B989" i="1"/>
  <c r="E988" i="1"/>
  <c r="B988" i="1"/>
  <c r="E987" i="1"/>
  <c r="B987" i="1"/>
  <c r="E986" i="1"/>
  <c r="B986" i="1"/>
  <c r="E985" i="1"/>
  <c r="B985" i="1"/>
  <c r="E984" i="1"/>
  <c r="B984" i="1"/>
  <c r="E983" i="1"/>
  <c r="B983" i="1"/>
  <c r="E982" i="1"/>
  <c r="B982" i="1"/>
  <c r="E981" i="1"/>
  <c r="B981" i="1"/>
  <c r="E980" i="1"/>
  <c r="B980" i="1"/>
  <c r="E979" i="1"/>
  <c r="B979" i="1"/>
  <c r="E978" i="1"/>
  <c r="B978" i="1"/>
  <c r="E977" i="1"/>
  <c r="B977" i="1"/>
  <c r="E976" i="1"/>
  <c r="B976" i="1"/>
  <c r="E975" i="1"/>
  <c r="B975" i="1"/>
  <c r="E974" i="1"/>
  <c r="B974" i="1"/>
  <c r="E973" i="1"/>
  <c r="B973" i="1"/>
  <c r="E972" i="1"/>
  <c r="B972" i="1"/>
  <c r="E971" i="1"/>
  <c r="B971" i="1"/>
  <c r="E970" i="1"/>
  <c r="B970" i="1"/>
  <c r="E969" i="1"/>
  <c r="B969" i="1"/>
  <c r="E968" i="1"/>
  <c r="B968" i="1"/>
  <c r="E967" i="1"/>
  <c r="B967" i="1"/>
  <c r="E966" i="1"/>
  <c r="B966" i="1"/>
  <c r="E965" i="1"/>
  <c r="B965" i="1"/>
  <c r="E964" i="1"/>
  <c r="B964" i="1"/>
  <c r="E963" i="1"/>
  <c r="B963" i="1"/>
  <c r="E962" i="1"/>
  <c r="B962" i="1"/>
  <c r="E961" i="1"/>
  <c r="B961" i="1"/>
  <c r="E960" i="1"/>
  <c r="B960" i="1"/>
  <c r="E959" i="1"/>
  <c r="B959" i="1"/>
  <c r="E958" i="1"/>
  <c r="B958" i="1"/>
  <c r="E957" i="1"/>
  <c r="B957" i="1"/>
  <c r="E956" i="1"/>
  <c r="B956" i="1"/>
  <c r="E955" i="1"/>
  <c r="B955" i="1"/>
  <c r="E954" i="1"/>
  <c r="B954" i="1"/>
  <c r="E953" i="1"/>
  <c r="B953" i="1"/>
  <c r="E952" i="1"/>
  <c r="B952" i="1"/>
  <c r="E951" i="1"/>
  <c r="B951" i="1"/>
  <c r="E950" i="1"/>
  <c r="B950" i="1"/>
  <c r="E949" i="1"/>
  <c r="B949" i="1"/>
  <c r="E948" i="1"/>
  <c r="B948" i="1"/>
  <c r="E947" i="1"/>
  <c r="B947" i="1"/>
  <c r="E946" i="1"/>
  <c r="B946" i="1"/>
  <c r="E945" i="1"/>
  <c r="B945" i="1"/>
  <c r="E944" i="1"/>
  <c r="B944" i="1"/>
  <c r="E943" i="1"/>
  <c r="B943" i="1"/>
  <c r="E942" i="1"/>
  <c r="B942" i="1"/>
  <c r="E941" i="1"/>
  <c r="B941" i="1"/>
  <c r="E940" i="1"/>
  <c r="E939" i="1"/>
  <c r="B939" i="1"/>
  <c r="E938" i="1"/>
  <c r="B938" i="1"/>
  <c r="E937" i="1"/>
  <c r="B937" i="1"/>
  <c r="E936" i="1"/>
  <c r="B936" i="1"/>
  <c r="E935" i="1"/>
  <c r="B935" i="1"/>
  <c r="E934" i="1"/>
  <c r="B934" i="1"/>
  <c r="E933" i="1"/>
  <c r="B933" i="1"/>
  <c r="E932" i="1"/>
  <c r="B932" i="1"/>
  <c r="E931" i="1"/>
  <c r="B931" i="1"/>
  <c r="E930" i="1"/>
  <c r="B930" i="1"/>
  <c r="E929" i="1"/>
  <c r="B929" i="1"/>
  <c r="E928" i="1"/>
  <c r="B928" i="1"/>
  <c r="E927" i="1"/>
  <c r="B927" i="1"/>
  <c r="E926" i="1"/>
  <c r="B926" i="1"/>
  <c r="E925" i="1"/>
  <c r="B925" i="1"/>
  <c r="E924" i="1"/>
  <c r="B924" i="1"/>
  <c r="E923" i="1"/>
  <c r="B923" i="1"/>
  <c r="E922" i="1"/>
  <c r="B922" i="1"/>
  <c r="E921" i="1"/>
  <c r="B921" i="1"/>
  <c r="E920" i="1"/>
  <c r="B920" i="1"/>
  <c r="E919" i="1"/>
  <c r="B919" i="1"/>
  <c r="E918" i="1"/>
  <c r="B918" i="1"/>
  <c r="E917" i="1"/>
  <c r="B917" i="1"/>
  <c r="E916" i="1"/>
  <c r="B916" i="1"/>
  <c r="E915" i="1"/>
  <c r="B915" i="1"/>
  <c r="E914" i="1"/>
  <c r="B914" i="1"/>
  <c r="E913" i="1"/>
  <c r="B913" i="1"/>
  <c r="E912" i="1"/>
  <c r="B912" i="1"/>
  <c r="E911" i="1"/>
  <c r="B911" i="1"/>
  <c r="E910" i="1"/>
  <c r="B910" i="1"/>
  <c r="E909" i="1"/>
  <c r="B909" i="1"/>
  <c r="E908" i="1"/>
  <c r="B908" i="1"/>
  <c r="E907" i="1"/>
  <c r="B907" i="1"/>
  <c r="E906" i="1"/>
  <c r="B906" i="1"/>
  <c r="E905" i="1"/>
  <c r="B905" i="1"/>
  <c r="E904" i="1"/>
  <c r="B904" i="1"/>
  <c r="E903" i="1"/>
  <c r="B903" i="1"/>
  <c r="E902" i="1"/>
  <c r="B902" i="1"/>
  <c r="E901" i="1"/>
  <c r="B901" i="1"/>
  <c r="E900" i="1"/>
  <c r="B900" i="1"/>
  <c r="E899" i="1"/>
  <c r="B899" i="1"/>
  <c r="E898" i="1"/>
  <c r="B898" i="1"/>
  <c r="E897" i="1"/>
  <c r="B897" i="1"/>
  <c r="E896" i="1"/>
  <c r="B896" i="1"/>
  <c r="E895" i="1"/>
  <c r="B895" i="1"/>
  <c r="E894" i="1"/>
  <c r="B894" i="1"/>
  <c r="E893" i="1"/>
  <c r="B893" i="1"/>
  <c r="E892" i="1"/>
  <c r="B892" i="1"/>
  <c r="E891" i="1"/>
  <c r="B891" i="1"/>
  <c r="E890" i="1"/>
  <c r="B890" i="1"/>
  <c r="E889" i="1"/>
  <c r="B889" i="1"/>
  <c r="E888" i="1"/>
  <c r="B888" i="1"/>
  <c r="E887" i="1"/>
  <c r="B887" i="1"/>
  <c r="E886" i="1"/>
  <c r="B886" i="1"/>
  <c r="E885" i="1"/>
  <c r="B885" i="1"/>
  <c r="E884" i="1"/>
  <c r="B884" i="1"/>
  <c r="E883" i="1"/>
  <c r="B883" i="1"/>
  <c r="E882" i="1"/>
  <c r="B882" i="1"/>
  <c r="E881" i="1"/>
  <c r="B881" i="1"/>
  <c r="E880" i="1"/>
  <c r="B880" i="1"/>
  <c r="E879" i="1"/>
  <c r="B879" i="1"/>
  <c r="E878" i="1"/>
  <c r="B878" i="1"/>
  <c r="E877" i="1"/>
  <c r="B877" i="1"/>
  <c r="E876" i="1"/>
  <c r="B876" i="1"/>
  <c r="E875" i="1"/>
  <c r="B875" i="1"/>
  <c r="E874" i="1"/>
  <c r="B874" i="1"/>
  <c r="E873" i="1"/>
  <c r="B873" i="1"/>
  <c r="E872" i="1"/>
  <c r="B872" i="1"/>
  <c r="E871" i="1"/>
  <c r="B871" i="1"/>
  <c r="E870" i="1"/>
  <c r="B870" i="1"/>
  <c r="E869" i="1"/>
  <c r="B869" i="1"/>
  <c r="E868" i="1"/>
  <c r="B868" i="1"/>
  <c r="E867" i="1"/>
  <c r="B867" i="1"/>
  <c r="E866" i="1"/>
  <c r="B866" i="1"/>
  <c r="E865" i="1"/>
  <c r="B865" i="1"/>
  <c r="E864" i="1"/>
  <c r="B864" i="1"/>
  <c r="E863" i="1"/>
  <c r="B863" i="1"/>
  <c r="E862" i="1"/>
  <c r="B862" i="1"/>
  <c r="E861" i="1"/>
  <c r="B861" i="1"/>
  <c r="E860" i="1"/>
  <c r="B860" i="1"/>
  <c r="E859" i="1"/>
  <c r="B859" i="1"/>
  <c r="E858" i="1"/>
  <c r="B858" i="1"/>
  <c r="E857" i="1"/>
  <c r="B857" i="1"/>
  <c r="E856" i="1"/>
  <c r="B856" i="1"/>
  <c r="E855" i="1"/>
  <c r="B855" i="1"/>
  <c r="E854" i="1"/>
  <c r="B854" i="1"/>
  <c r="E853" i="1"/>
  <c r="B853" i="1"/>
  <c r="E852" i="1"/>
  <c r="B852" i="1"/>
  <c r="E851" i="1"/>
  <c r="B851" i="1"/>
  <c r="E850" i="1"/>
  <c r="B850" i="1"/>
  <c r="E849" i="1"/>
  <c r="B849" i="1"/>
  <c r="E848" i="1"/>
  <c r="B848" i="1"/>
  <c r="E847" i="1"/>
  <c r="B847" i="1"/>
  <c r="E846" i="1"/>
  <c r="B846" i="1"/>
  <c r="E845" i="1"/>
  <c r="B845" i="1"/>
  <c r="E844" i="1"/>
  <c r="B844" i="1"/>
  <c r="E843" i="1"/>
  <c r="B843" i="1"/>
  <c r="E842" i="1"/>
  <c r="B842" i="1"/>
  <c r="E841" i="1"/>
  <c r="B841" i="1"/>
  <c r="E840" i="1"/>
  <c r="B840" i="1"/>
  <c r="E839" i="1"/>
  <c r="B839" i="1"/>
  <c r="E838" i="1"/>
  <c r="B838" i="1"/>
  <c r="E837" i="1"/>
  <c r="B837" i="1"/>
  <c r="E836" i="1"/>
  <c r="B836" i="1"/>
  <c r="E835" i="1"/>
  <c r="B835" i="1"/>
  <c r="E834" i="1"/>
  <c r="B834" i="1"/>
  <c r="E833" i="1"/>
  <c r="B833" i="1"/>
  <c r="E832" i="1"/>
  <c r="B832" i="1"/>
  <c r="E831" i="1"/>
  <c r="B831" i="1"/>
  <c r="E830" i="1"/>
  <c r="B830" i="1"/>
  <c r="E829" i="1"/>
  <c r="B829" i="1"/>
  <c r="E828" i="1"/>
  <c r="B828" i="1"/>
  <c r="E827" i="1"/>
  <c r="B827" i="1"/>
  <c r="E826" i="1"/>
  <c r="B826" i="1"/>
  <c r="E825" i="1"/>
  <c r="B825" i="1"/>
  <c r="E824" i="1"/>
  <c r="B824" i="1"/>
  <c r="E823" i="1"/>
  <c r="B823" i="1"/>
  <c r="E822" i="1"/>
  <c r="B822" i="1"/>
  <c r="E821" i="1"/>
  <c r="B821" i="1"/>
  <c r="E820" i="1"/>
  <c r="B820" i="1"/>
  <c r="E819" i="1"/>
  <c r="B819" i="1"/>
  <c r="E818" i="1"/>
  <c r="B818" i="1"/>
  <c r="E817" i="1"/>
  <c r="B817" i="1"/>
  <c r="E816" i="1"/>
  <c r="B816" i="1"/>
  <c r="E815" i="1"/>
  <c r="B815" i="1"/>
  <c r="E814" i="1"/>
  <c r="B814" i="1"/>
  <c r="E813" i="1"/>
  <c r="B813" i="1"/>
  <c r="E812" i="1"/>
  <c r="B812" i="1"/>
  <c r="E811" i="1"/>
  <c r="B811" i="1"/>
  <c r="E810" i="1"/>
  <c r="B810" i="1"/>
  <c r="E809" i="1"/>
  <c r="B809" i="1"/>
  <c r="E808" i="1"/>
  <c r="B808" i="1"/>
  <c r="E807" i="1"/>
  <c r="B807" i="1"/>
  <c r="E806" i="1"/>
  <c r="B806" i="1"/>
  <c r="E805" i="1"/>
  <c r="B805" i="1"/>
  <c r="E804" i="1"/>
  <c r="B804" i="1"/>
  <c r="E803" i="1"/>
  <c r="B803" i="1"/>
  <c r="E802" i="1"/>
  <c r="B802" i="1"/>
  <c r="E801" i="1"/>
  <c r="B801" i="1"/>
  <c r="E800" i="1"/>
  <c r="B800" i="1"/>
  <c r="E799" i="1"/>
  <c r="B799" i="1"/>
  <c r="E798" i="1"/>
  <c r="B798" i="1"/>
  <c r="E797" i="1"/>
  <c r="B797" i="1"/>
  <c r="E796" i="1"/>
  <c r="B796" i="1"/>
  <c r="E795" i="1"/>
  <c r="B795" i="1"/>
  <c r="E794" i="1"/>
  <c r="B794" i="1"/>
  <c r="E793" i="1"/>
  <c r="B793" i="1"/>
  <c r="E792" i="1"/>
  <c r="B792" i="1"/>
  <c r="E791" i="1"/>
  <c r="B791" i="1"/>
  <c r="E790" i="1"/>
  <c r="B790" i="1"/>
  <c r="E789" i="1"/>
  <c r="B789" i="1"/>
  <c r="E788" i="1"/>
  <c r="B788" i="1"/>
  <c r="E787" i="1"/>
  <c r="B787" i="1"/>
  <c r="E786" i="1"/>
  <c r="B786" i="1"/>
  <c r="E785" i="1"/>
  <c r="B785" i="1"/>
  <c r="E784" i="1"/>
  <c r="B784" i="1"/>
  <c r="E783" i="1"/>
  <c r="B783" i="1"/>
  <c r="E782" i="1"/>
  <c r="B782" i="1"/>
  <c r="E781" i="1"/>
  <c r="B781" i="1"/>
  <c r="E780" i="1"/>
  <c r="B780" i="1"/>
  <c r="E779" i="1"/>
  <c r="B779" i="1"/>
  <c r="E778" i="1"/>
  <c r="B778" i="1"/>
  <c r="E777" i="1"/>
  <c r="B777" i="1"/>
  <c r="E776" i="1"/>
  <c r="B776" i="1"/>
  <c r="E775" i="1"/>
  <c r="B775" i="1"/>
  <c r="E774" i="1"/>
  <c r="B774" i="1"/>
  <c r="E773" i="1"/>
  <c r="B773" i="1"/>
  <c r="E772" i="1"/>
  <c r="B772" i="1"/>
  <c r="E771" i="1"/>
  <c r="B771" i="1"/>
  <c r="E770" i="1"/>
  <c r="B770" i="1"/>
  <c r="E769" i="1"/>
  <c r="B769" i="1"/>
  <c r="E768" i="1"/>
  <c r="B768" i="1"/>
  <c r="E767" i="1"/>
  <c r="B767" i="1"/>
  <c r="E766" i="1"/>
  <c r="B766" i="1"/>
  <c r="E765" i="1"/>
  <c r="B765" i="1"/>
  <c r="E764" i="1"/>
  <c r="B764" i="1"/>
  <c r="E763" i="1"/>
  <c r="B763" i="1"/>
  <c r="E762" i="1"/>
  <c r="B762" i="1"/>
  <c r="E761" i="1"/>
  <c r="B761" i="1"/>
  <c r="E760" i="1"/>
  <c r="B760" i="1"/>
  <c r="E759" i="1"/>
  <c r="B759" i="1"/>
  <c r="E758" i="1"/>
  <c r="B758" i="1"/>
  <c r="E757" i="1"/>
  <c r="B757" i="1"/>
  <c r="E756" i="1"/>
  <c r="B756" i="1"/>
  <c r="E755" i="1"/>
  <c r="B755" i="1"/>
  <c r="E754" i="1"/>
  <c r="B754" i="1"/>
  <c r="E753" i="1"/>
  <c r="B753" i="1"/>
  <c r="E752" i="1"/>
  <c r="B752" i="1"/>
  <c r="E751" i="1"/>
  <c r="B751" i="1"/>
  <c r="E750" i="1"/>
  <c r="B750" i="1"/>
  <c r="E749" i="1"/>
  <c r="B749" i="1"/>
  <c r="E748" i="1"/>
  <c r="B748" i="1"/>
  <c r="E747" i="1"/>
  <c r="B747" i="1"/>
  <c r="E746" i="1"/>
  <c r="B746" i="1"/>
  <c r="E745" i="1"/>
  <c r="B745" i="1"/>
  <c r="E744" i="1"/>
  <c r="B744" i="1"/>
  <c r="E743" i="1"/>
  <c r="B743" i="1"/>
  <c r="E742" i="1"/>
  <c r="B742" i="1"/>
  <c r="E741" i="1"/>
  <c r="B741" i="1"/>
  <c r="E740" i="1"/>
  <c r="B740" i="1"/>
  <c r="E739" i="1"/>
  <c r="B739" i="1"/>
  <c r="E738" i="1"/>
  <c r="B738" i="1"/>
  <c r="E737" i="1"/>
  <c r="B737" i="1"/>
  <c r="E736" i="1"/>
  <c r="B736" i="1"/>
  <c r="E735" i="1"/>
  <c r="B735" i="1"/>
  <c r="E734" i="1"/>
  <c r="B734" i="1"/>
  <c r="E733" i="1"/>
  <c r="B733" i="1"/>
  <c r="E732" i="1"/>
  <c r="B732" i="1"/>
  <c r="E731" i="1"/>
  <c r="B731" i="1"/>
  <c r="E730" i="1"/>
  <c r="B730" i="1"/>
  <c r="E729" i="1"/>
  <c r="B729" i="1"/>
  <c r="E728" i="1"/>
  <c r="B728" i="1"/>
  <c r="E727" i="1"/>
  <c r="B727" i="1"/>
  <c r="E726" i="1"/>
  <c r="B726" i="1"/>
  <c r="E725" i="1"/>
  <c r="B725" i="1"/>
  <c r="E724" i="1"/>
  <c r="B724" i="1"/>
  <c r="E723" i="1"/>
  <c r="B723" i="1"/>
  <c r="E722" i="1"/>
  <c r="B722" i="1"/>
  <c r="E721" i="1"/>
  <c r="B721" i="1"/>
  <c r="E720" i="1"/>
  <c r="B720" i="1"/>
  <c r="E719" i="1"/>
  <c r="B719" i="1"/>
  <c r="E718" i="1"/>
  <c r="B718" i="1"/>
  <c r="E717" i="1"/>
  <c r="B717" i="1"/>
  <c r="E716" i="1"/>
  <c r="B716" i="1"/>
  <c r="E715" i="1"/>
  <c r="B715" i="1"/>
  <c r="E714" i="1"/>
  <c r="B714" i="1"/>
  <c r="E713" i="1"/>
  <c r="B713" i="1"/>
  <c r="E712" i="1"/>
  <c r="B712" i="1"/>
  <c r="E711" i="1"/>
  <c r="B711" i="1"/>
  <c r="E710" i="1"/>
  <c r="B710" i="1"/>
  <c r="E709" i="1"/>
  <c r="B709" i="1"/>
  <c r="E708" i="1"/>
  <c r="B708" i="1"/>
  <c r="E707" i="1"/>
  <c r="B707" i="1"/>
  <c r="E706" i="1"/>
  <c r="B706" i="1"/>
  <c r="E705" i="1"/>
  <c r="B705" i="1"/>
  <c r="E704" i="1"/>
  <c r="B704" i="1"/>
  <c r="E703" i="1"/>
  <c r="B703" i="1"/>
  <c r="E702" i="1"/>
  <c r="B702" i="1"/>
  <c r="E701" i="1"/>
  <c r="B701" i="1"/>
  <c r="E700" i="1"/>
  <c r="B700" i="1"/>
  <c r="E699" i="1"/>
  <c r="B699" i="1"/>
  <c r="E698" i="1"/>
  <c r="B698" i="1"/>
  <c r="E697" i="1"/>
  <c r="B697" i="1"/>
  <c r="E696" i="1"/>
  <c r="B696" i="1"/>
  <c r="E695" i="1"/>
  <c r="B695" i="1"/>
  <c r="E694" i="1"/>
  <c r="B694" i="1"/>
  <c r="E693" i="1"/>
  <c r="B693" i="1"/>
  <c r="E692" i="1"/>
  <c r="B692" i="1"/>
  <c r="E691" i="1"/>
  <c r="B691" i="1"/>
  <c r="E690" i="1"/>
  <c r="B690" i="1"/>
  <c r="E689" i="1"/>
  <c r="B689" i="1"/>
  <c r="E688" i="1"/>
  <c r="B688" i="1"/>
  <c r="E687" i="1"/>
  <c r="B687" i="1"/>
  <c r="E686" i="1"/>
  <c r="B686" i="1"/>
  <c r="E685" i="1"/>
  <c r="B685" i="1"/>
  <c r="E684" i="1"/>
  <c r="B684" i="1"/>
  <c r="E683" i="1"/>
  <c r="B683" i="1"/>
  <c r="E682" i="1" l="1"/>
  <c r="B682" i="1"/>
  <c r="E681" i="1"/>
  <c r="B681" i="1"/>
  <c r="E680" i="1"/>
  <c r="B680" i="1"/>
  <c r="E679" i="1"/>
  <c r="B679" i="1"/>
  <c r="E678" i="1"/>
  <c r="B678" i="1"/>
  <c r="E677" i="1"/>
  <c r="B677" i="1"/>
  <c r="E676" i="1"/>
  <c r="B676" i="1"/>
  <c r="E675" i="1"/>
  <c r="B675" i="1"/>
  <c r="E674" i="1"/>
  <c r="B674" i="1"/>
  <c r="E673" i="1"/>
  <c r="B673" i="1"/>
  <c r="E672" i="1"/>
  <c r="B672" i="1"/>
  <c r="E671" i="1"/>
  <c r="B671" i="1"/>
  <c r="E670" i="1"/>
  <c r="B670" i="1"/>
  <c r="E669" i="1"/>
  <c r="B669" i="1"/>
  <c r="E668" i="1"/>
  <c r="B668" i="1"/>
  <c r="E667" i="1"/>
  <c r="B667" i="1"/>
  <c r="E666" i="1"/>
  <c r="B666" i="1"/>
  <c r="E665" i="1"/>
  <c r="B665" i="1"/>
  <c r="E664" i="1"/>
  <c r="B664" i="1"/>
  <c r="E663" i="1"/>
  <c r="B663" i="1"/>
  <c r="E662" i="1"/>
  <c r="B662" i="1"/>
  <c r="E661" i="1"/>
  <c r="B661" i="1"/>
  <c r="E660" i="1"/>
  <c r="B660" i="1"/>
  <c r="E659" i="1"/>
  <c r="B659" i="1"/>
  <c r="E658" i="1"/>
  <c r="B658" i="1"/>
  <c r="E657" i="1"/>
  <c r="B657" i="1"/>
  <c r="E656" i="1"/>
  <c r="B656" i="1"/>
  <c r="E655" i="1"/>
  <c r="B655" i="1"/>
  <c r="E654" i="1"/>
  <c r="B654" i="1"/>
  <c r="E653" i="1"/>
  <c r="B653" i="1"/>
  <c r="E652" i="1"/>
  <c r="B652" i="1"/>
  <c r="E651" i="1"/>
  <c r="B651" i="1"/>
  <c r="E650" i="1"/>
  <c r="B650" i="1"/>
  <c r="E649" i="1"/>
  <c r="B649" i="1"/>
  <c r="E648" i="1"/>
  <c r="B648" i="1"/>
  <c r="E647" i="1"/>
  <c r="B647" i="1"/>
  <c r="E646" i="1"/>
  <c r="B646" i="1"/>
  <c r="E645" i="1"/>
  <c r="B645" i="1"/>
  <c r="E644" i="1"/>
  <c r="B644" i="1"/>
  <c r="E643" i="1"/>
  <c r="B643" i="1"/>
  <c r="E642" i="1"/>
  <c r="B642" i="1"/>
  <c r="E641" i="1"/>
  <c r="B641" i="1"/>
  <c r="E640" i="1"/>
  <c r="B640" i="1"/>
  <c r="E639" i="1"/>
  <c r="B639" i="1"/>
  <c r="E638" i="1"/>
  <c r="B638" i="1"/>
  <c r="E637" i="1"/>
  <c r="B637" i="1"/>
  <c r="E636" i="1"/>
  <c r="B636" i="1"/>
  <c r="E635" i="1"/>
  <c r="B635" i="1"/>
  <c r="E634" i="1"/>
  <c r="B634" i="1"/>
  <c r="E633" i="1"/>
  <c r="B633" i="1"/>
  <c r="E632" i="1"/>
  <c r="B632" i="1"/>
  <c r="E631" i="1"/>
  <c r="B631" i="1"/>
  <c r="E630" i="1"/>
  <c r="B630" i="1"/>
  <c r="E629" i="1"/>
  <c r="B629" i="1"/>
  <c r="E628" i="1"/>
  <c r="B628" i="1"/>
  <c r="E627" i="1"/>
  <c r="B627" i="1"/>
  <c r="E626" i="1"/>
  <c r="B626" i="1"/>
  <c r="E625" i="1"/>
  <c r="B625" i="1"/>
  <c r="E624" i="1"/>
  <c r="B624" i="1"/>
  <c r="E623" i="1"/>
  <c r="B623" i="1"/>
  <c r="E622" i="1"/>
  <c r="B622" i="1"/>
  <c r="E621" i="1"/>
  <c r="B621" i="1"/>
  <c r="E620" i="1"/>
  <c r="B620" i="1"/>
  <c r="E619" i="1"/>
  <c r="B619" i="1"/>
  <c r="E618" i="1"/>
  <c r="B618" i="1"/>
  <c r="E617" i="1"/>
  <c r="B617" i="1"/>
  <c r="E616" i="1"/>
  <c r="B616" i="1"/>
  <c r="E615" i="1"/>
  <c r="B615" i="1"/>
  <c r="E614" i="1"/>
  <c r="B614" i="1"/>
  <c r="E613" i="1"/>
  <c r="B613" i="1"/>
  <c r="E612" i="1"/>
  <c r="B612" i="1"/>
  <c r="E611" i="1"/>
  <c r="B611" i="1"/>
  <c r="E610" i="1"/>
  <c r="B610" i="1"/>
  <c r="E609" i="1"/>
  <c r="B609" i="1"/>
  <c r="E608" i="1"/>
  <c r="B608" i="1"/>
  <c r="E607" i="1"/>
  <c r="B607" i="1"/>
  <c r="E606" i="1"/>
  <c r="B606" i="1"/>
  <c r="E605" i="1"/>
  <c r="B605" i="1"/>
  <c r="E604" i="1"/>
  <c r="B604" i="1"/>
  <c r="E603" i="1"/>
  <c r="B603" i="1"/>
  <c r="E602" i="1"/>
  <c r="B602" i="1"/>
  <c r="E601" i="1"/>
  <c r="B601" i="1"/>
  <c r="E600" i="1"/>
  <c r="B600" i="1"/>
  <c r="E599" i="1"/>
  <c r="B599" i="1"/>
  <c r="E598" i="1"/>
  <c r="B598" i="1"/>
  <c r="E597" i="1"/>
  <c r="B597" i="1"/>
  <c r="E596" i="1"/>
  <c r="B596" i="1"/>
  <c r="E595" i="1"/>
  <c r="B595" i="1"/>
  <c r="E594" i="1"/>
  <c r="B594" i="1"/>
  <c r="E593" i="1"/>
  <c r="B593" i="1"/>
  <c r="E592" i="1"/>
  <c r="B592" i="1"/>
  <c r="E591" i="1"/>
  <c r="B591" i="1"/>
  <c r="E590" i="1"/>
  <c r="B590" i="1"/>
  <c r="E589" i="1"/>
  <c r="B589" i="1"/>
  <c r="E588" i="1"/>
  <c r="B588" i="1"/>
  <c r="E587" i="1"/>
  <c r="B587" i="1"/>
  <c r="E586" i="1"/>
  <c r="B586" i="1"/>
  <c r="E585" i="1"/>
  <c r="B585" i="1"/>
  <c r="E584" i="1"/>
  <c r="B584" i="1"/>
  <c r="E583" i="1"/>
  <c r="B583" i="1"/>
  <c r="E582" i="1"/>
  <c r="B582" i="1"/>
  <c r="E581" i="1"/>
  <c r="B581" i="1"/>
  <c r="E580" i="1"/>
  <c r="B580" i="1"/>
  <c r="E579" i="1"/>
  <c r="B579" i="1"/>
  <c r="E578" i="1"/>
  <c r="B578" i="1"/>
  <c r="E577" i="1"/>
  <c r="B577" i="1"/>
  <c r="E576" i="1"/>
  <c r="B576" i="1"/>
  <c r="E575" i="1"/>
  <c r="B575" i="1"/>
  <c r="E574" i="1"/>
  <c r="B574" i="1"/>
  <c r="E573" i="1"/>
  <c r="B573" i="1"/>
  <c r="E572" i="1"/>
  <c r="B572" i="1"/>
  <c r="E571" i="1"/>
  <c r="B571" i="1"/>
  <c r="E570" i="1"/>
  <c r="B570" i="1"/>
  <c r="E569" i="1"/>
  <c r="B569" i="1"/>
  <c r="E568" i="1"/>
  <c r="B568" i="1"/>
  <c r="E567" i="1"/>
  <c r="B567" i="1"/>
  <c r="E566" i="1"/>
  <c r="B566" i="1"/>
  <c r="E565" i="1"/>
  <c r="B565" i="1"/>
  <c r="E564" i="1"/>
  <c r="B564" i="1"/>
  <c r="E563" i="1"/>
  <c r="B563" i="1"/>
  <c r="E562" i="1"/>
  <c r="B562" i="1"/>
  <c r="E561" i="1"/>
  <c r="B561" i="1"/>
  <c r="E560" i="1"/>
  <c r="B560" i="1"/>
  <c r="E559" i="1"/>
  <c r="B559" i="1"/>
  <c r="E558" i="1"/>
  <c r="B558" i="1"/>
  <c r="E557" i="1"/>
  <c r="B557" i="1"/>
  <c r="E556" i="1"/>
  <c r="B556" i="1"/>
  <c r="E555" i="1"/>
  <c r="B555" i="1"/>
  <c r="E554" i="1"/>
  <c r="B554" i="1"/>
  <c r="E553" i="1"/>
  <c r="B553" i="1"/>
  <c r="E552" i="1"/>
  <c r="B552" i="1"/>
  <c r="E551" i="1"/>
  <c r="B551" i="1"/>
  <c r="E550" i="1"/>
  <c r="B550" i="1"/>
  <c r="E549" i="1"/>
  <c r="B549" i="1"/>
  <c r="E548" i="1"/>
  <c r="B548" i="1"/>
  <c r="E547" i="1"/>
  <c r="B547" i="1"/>
  <c r="E546" i="1"/>
  <c r="B546" i="1"/>
  <c r="E545" i="1"/>
  <c r="B545" i="1"/>
  <c r="E544" i="1"/>
  <c r="B544" i="1"/>
  <c r="E543" i="1"/>
  <c r="B543" i="1"/>
  <c r="E542" i="1"/>
  <c r="B542" i="1"/>
  <c r="E541" i="1"/>
  <c r="B541" i="1"/>
  <c r="E540" i="1"/>
  <c r="B540" i="1"/>
  <c r="E539" i="1"/>
  <c r="B539" i="1"/>
  <c r="E538" i="1"/>
  <c r="B538" i="1"/>
  <c r="E537" i="1"/>
  <c r="B537" i="1"/>
  <c r="E536" i="1"/>
  <c r="B536" i="1"/>
  <c r="E535" i="1"/>
  <c r="B535" i="1"/>
  <c r="E534" i="1"/>
  <c r="B534" i="1"/>
  <c r="E533" i="1"/>
  <c r="B533" i="1"/>
  <c r="E532" i="1"/>
  <c r="B532" i="1"/>
  <c r="E531" i="1"/>
  <c r="B531" i="1"/>
  <c r="E530" i="1"/>
  <c r="B530" i="1"/>
  <c r="E529" i="1"/>
  <c r="B529" i="1"/>
  <c r="E528" i="1"/>
  <c r="B528" i="1"/>
  <c r="E527" i="1"/>
  <c r="B527" i="1"/>
  <c r="E526" i="1"/>
  <c r="B526" i="1"/>
  <c r="E525" i="1"/>
  <c r="B525" i="1"/>
  <c r="E524" i="1"/>
  <c r="B524" i="1"/>
  <c r="E523" i="1"/>
  <c r="B523" i="1"/>
  <c r="E522" i="1"/>
  <c r="B522" i="1"/>
  <c r="E521" i="1"/>
  <c r="B521" i="1"/>
  <c r="E520" i="1"/>
  <c r="B520" i="1"/>
  <c r="E519" i="1"/>
  <c r="B519" i="1"/>
  <c r="E518" i="1"/>
  <c r="B518" i="1"/>
  <c r="E517" i="1"/>
  <c r="B517" i="1"/>
  <c r="E516" i="1"/>
  <c r="B516" i="1"/>
  <c r="E515" i="1"/>
  <c r="B515" i="1"/>
  <c r="E514" i="1"/>
  <c r="B514" i="1"/>
  <c r="E513" i="1"/>
  <c r="B513" i="1"/>
  <c r="E512" i="1"/>
  <c r="B512" i="1"/>
  <c r="E511" i="1"/>
  <c r="B511" i="1"/>
  <c r="E510" i="1"/>
  <c r="B510" i="1"/>
  <c r="E509" i="1"/>
  <c r="B509" i="1"/>
  <c r="E508" i="1"/>
  <c r="B508" i="1"/>
  <c r="E507" i="1"/>
  <c r="B507" i="1"/>
  <c r="E506" i="1"/>
  <c r="B506" i="1"/>
  <c r="E505" i="1"/>
  <c r="B505" i="1"/>
  <c r="E504" i="1"/>
  <c r="B504" i="1"/>
  <c r="E503" i="1"/>
  <c r="B503" i="1"/>
  <c r="E502" i="1"/>
  <c r="B502" i="1"/>
  <c r="E501" i="1"/>
  <c r="B501" i="1"/>
  <c r="E500" i="1"/>
  <c r="B500" i="1"/>
  <c r="E499" i="1"/>
  <c r="B499" i="1"/>
  <c r="E498" i="1"/>
  <c r="B498" i="1"/>
  <c r="E497" i="1"/>
  <c r="B497" i="1"/>
  <c r="E496" i="1"/>
  <c r="B496" i="1"/>
  <c r="E495" i="1"/>
  <c r="B495" i="1"/>
  <c r="E494" i="1"/>
  <c r="B494" i="1"/>
  <c r="E493" i="1"/>
  <c r="B493" i="1"/>
  <c r="E492" i="1"/>
  <c r="B492" i="1"/>
  <c r="E491" i="1"/>
  <c r="B491" i="1"/>
  <c r="E490" i="1"/>
  <c r="B490" i="1"/>
  <c r="E489" i="1"/>
  <c r="B489" i="1"/>
  <c r="E488" i="1"/>
  <c r="B488" i="1"/>
  <c r="E487" i="1"/>
  <c r="B487" i="1"/>
  <c r="E486" i="1"/>
  <c r="B486" i="1"/>
  <c r="E485" i="1"/>
  <c r="B485" i="1"/>
  <c r="E484" i="1"/>
  <c r="B484" i="1"/>
  <c r="E483" i="1"/>
  <c r="B483" i="1"/>
  <c r="E482" i="1"/>
  <c r="B482" i="1"/>
  <c r="E481" i="1"/>
  <c r="B481" i="1"/>
  <c r="E480" i="1"/>
  <c r="B480" i="1"/>
  <c r="E479" i="1"/>
  <c r="B479" i="1"/>
  <c r="E478" i="1"/>
  <c r="B478" i="1"/>
  <c r="E477" i="1"/>
  <c r="B477" i="1"/>
  <c r="E476" i="1"/>
  <c r="B476" i="1"/>
  <c r="E475" i="1"/>
  <c r="B475" i="1"/>
  <c r="E474" i="1"/>
  <c r="B474" i="1"/>
  <c r="E473" i="1"/>
  <c r="B473" i="1"/>
  <c r="B13" i="1" l="1"/>
  <c r="E472" i="1" l="1"/>
  <c r="B472" i="1"/>
  <c r="E471" i="1"/>
  <c r="B471" i="1"/>
  <c r="E470" i="1"/>
  <c r="B470" i="1"/>
  <c r="E469" i="1"/>
  <c r="B469" i="1"/>
  <c r="E468" i="1"/>
  <c r="B468" i="1"/>
  <c r="E467" i="1"/>
  <c r="B467" i="1"/>
  <c r="E466" i="1"/>
  <c r="B466" i="1"/>
  <c r="E465" i="1"/>
  <c r="B465" i="1"/>
  <c r="E464" i="1"/>
  <c r="B464" i="1"/>
  <c r="E463" i="1"/>
  <c r="B463" i="1"/>
  <c r="E462" i="1"/>
  <c r="B462" i="1"/>
  <c r="E461" i="1"/>
  <c r="B461" i="1"/>
  <c r="E460" i="1"/>
  <c r="B460" i="1"/>
  <c r="E459" i="1"/>
  <c r="B459" i="1"/>
  <c r="E458" i="1"/>
  <c r="B458" i="1"/>
  <c r="E457" i="1"/>
  <c r="B457" i="1"/>
  <c r="E456" i="1"/>
  <c r="B456" i="1"/>
  <c r="E455" i="1"/>
  <c r="B455" i="1"/>
  <c r="E454" i="1"/>
  <c r="B454" i="1"/>
  <c r="E453" i="1"/>
  <c r="B453" i="1"/>
  <c r="E452" i="1"/>
  <c r="B452" i="1"/>
  <c r="E451" i="1"/>
  <c r="B451" i="1"/>
  <c r="E450" i="1"/>
  <c r="B450" i="1"/>
  <c r="E449" i="1"/>
  <c r="B449" i="1"/>
  <c r="E448" i="1"/>
  <c r="B448" i="1"/>
  <c r="E447" i="1"/>
  <c r="B447" i="1"/>
  <c r="E446" i="1"/>
  <c r="B446" i="1"/>
  <c r="E445" i="1"/>
  <c r="B445" i="1"/>
  <c r="E444" i="1"/>
  <c r="B444" i="1"/>
  <c r="E443" i="1"/>
  <c r="B443" i="1"/>
  <c r="E442" i="1"/>
  <c r="B442" i="1"/>
  <c r="E441" i="1"/>
  <c r="B441" i="1"/>
  <c r="E440" i="1"/>
  <c r="B440" i="1"/>
  <c r="E439" i="1"/>
  <c r="B439" i="1"/>
  <c r="E438" i="1"/>
  <c r="B438" i="1"/>
  <c r="E437" i="1"/>
  <c r="B437" i="1"/>
  <c r="E436" i="1"/>
  <c r="B436" i="1"/>
  <c r="E435" i="1"/>
  <c r="B435" i="1"/>
  <c r="E434" i="1"/>
  <c r="B434" i="1"/>
  <c r="E433" i="1"/>
  <c r="B433" i="1"/>
  <c r="E432" i="1"/>
  <c r="B432" i="1"/>
  <c r="E431" i="1"/>
  <c r="B431" i="1"/>
  <c r="E430" i="1"/>
  <c r="B430" i="1"/>
  <c r="E429" i="1"/>
  <c r="B429" i="1"/>
  <c r="E428" i="1"/>
  <c r="B428" i="1"/>
  <c r="E427" i="1"/>
  <c r="B427" i="1"/>
  <c r="E426" i="1"/>
  <c r="B426" i="1"/>
  <c r="E425" i="1"/>
  <c r="B425" i="1"/>
  <c r="E424" i="1"/>
  <c r="B424" i="1"/>
  <c r="E423" i="1"/>
  <c r="B423" i="1"/>
  <c r="E422" i="1"/>
  <c r="B422" i="1"/>
  <c r="E421" i="1"/>
  <c r="B421" i="1"/>
  <c r="E420" i="1"/>
  <c r="B420" i="1"/>
  <c r="E419" i="1"/>
  <c r="B419" i="1"/>
  <c r="E418" i="1"/>
  <c r="B418" i="1"/>
  <c r="E417" i="1"/>
  <c r="B417" i="1"/>
  <c r="E416" i="1"/>
  <c r="B416" i="1"/>
  <c r="E415" i="1"/>
  <c r="B415" i="1"/>
  <c r="E414" i="1"/>
  <c r="B414" i="1"/>
  <c r="E413" i="1"/>
  <c r="B413" i="1"/>
  <c r="E412" i="1"/>
  <c r="B412" i="1"/>
  <c r="E411" i="1"/>
  <c r="B411" i="1"/>
  <c r="E410" i="1"/>
  <c r="B410" i="1"/>
  <c r="E409" i="1"/>
  <c r="B409" i="1"/>
  <c r="E408" i="1"/>
  <c r="B408" i="1"/>
  <c r="E407" i="1"/>
  <c r="B407" i="1"/>
  <c r="E406" i="1"/>
  <c r="B406" i="1"/>
  <c r="E405" i="1"/>
  <c r="B405" i="1"/>
  <c r="E404" i="1"/>
  <c r="B404" i="1"/>
  <c r="E403" i="1"/>
  <c r="B403" i="1"/>
  <c r="E402" i="1"/>
  <c r="B402" i="1"/>
  <c r="E401" i="1"/>
  <c r="B401" i="1"/>
  <c r="E400" i="1"/>
  <c r="B400" i="1"/>
  <c r="E399" i="1"/>
  <c r="B399" i="1"/>
  <c r="E398" i="1"/>
  <c r="B398" i="1"/>
  <c r="E397" i="1"/>
  <c r="B397" i="1"/>
  <c r="E396" i="1"/>
  <c r="B396" i="1"/>
  <c r="E395" i="1"/>
  <c r="B395" i="1"/>
  <c r="E394" i="1"/>
  <c r="B394" i="1"/>
  <c r="E393" i="1"/>
  <c r="B393" i="1"/>
  <c r="E392" i="1"/>
  <c r="B392" i="1"/>
  <c r="E391" i="1"/>
  <c r="B391" i="1"/>
  <c r="E390" i="1"/>
  <c r="B390" i="1"/>
  <c r="E389" i="1"/>
  <c r="B389" i="1"/>
  <c r="E388" i="1"/>
  <c r="B388" i="1"/>
  <c r="E387" i="1"/>
  <c r="B387" i="1"/>
  <c r="E386" i="1"/>
  <c r="B386" i="1"/>
  <c r="E385" i="1"/>
  <c r="B385" i="1"/>
  <c r="E384" i="1"/>
  <c r="B384" i="1"/>
  <c r="E383" i="1"/>
  <c r="B383" i="1"/>
  <c r="E382" i="1"/>
  <c r="B382" i="1"/>
  <c r="E381" i="1"/>
  <c r="B381" i="1"/>
  <c r="E380" i="1"/>
  <c r="B380" i="1"/>
  <c r="E379" i="1"/>
  <c r="B379" i="1"/>
  <c r="E378" i="1"/>
  <c r="B378" i="1"/>
  <c r="E377" i="1"/>
  <c r="B377" i="1"/>
  <c r="E376" i="1"/>
  <c r="B376" i="1"/>
  <c r="E375" i="1"/>
  <c r="B375" i="1"/>
  <c r="E374" i="1"/>
  <c r="B374" i="1"/>
  <c r="E373" i="1"/>
  <c r="B373" i="1"/>
  <c r="E372" i="1"/>
  <c r="B372" i="1"/>
  <c r="E371" i="1"/>
  <c r="B371" i="1"/>
  <c r="E370" i="1"/>
  <c r="B370" i="1"/>
  <c r="E369" i="1"/>
  <c r="B369" i="1"/>
  <c r="E368" i="1"/>
  <c r="B368" i="1"/>
  <c r="E367" i="1"/>
  <c r="B367" i="1"/>
  <c r="E366" i="1"/>
  <c r="B366" i="1"/>
  <c r="E365" i="1"/>
  <c r="B365" i="1"/>
  <c r="E364" i="1"/>
  <c r="B364" i="1"/>
  <c r="E363" i="1"/>
  <c r="B363" i="1"/>
  <c r="E362" i="1"/>
  <c r="B362" i="1"/>
  <c r="E361" i="1"/>
  <c r="B361" i="1"/>
  <c r="E360" i="1"/>
  <c r="B360" i="1"/>
  <c r="E359" i="1"/>
  <c r="B359" i="1"/>
  <c r="E358" i="1"/>
  <c r="B358" i="1"/>
  <c r="E357" i="1"/>
  <c r="B357" i="1"/>
  <c r="E356" i="1"/>
  <c r="B356" i="1"/>
  <c r="E355" i="1"/>
  <c r="B355" i="1"/>
  <c r="E354" i="1"/>
  <c r="B354" i="1"/>
  <c r="E353" i="1"/>
  <c r="B353" i="1"/>
  <c r="E352" i="1"/>
  <c r="B352" i="1"/>
  <c r="E351" i="1"/>
  <c r="B351" i="1"/>
  <c r="E350" i="1"/>
  <c r="B350" i="1"/>
  <c r="E349" i="1"/>
  <c r="B349" i="1"/>
  <c r="E348" i="1"/>
  <c r="B348" i="1"/>
  <c r="E347" i="1"/>
  <c r="B347" i="1"/>
  <c r="E346" i="1"/>
  <c r="B346" i="1"/>
  <c r="E345" i="1"/>
  <c r="B345" i="1"/>
  <c r="E344" i="1"/>
  <c r="B344" i="1"/>
  <c r="E343" i="1"/>
  <c r="B343" i="1"/>
  <c r="E342" i="1"/>
  <c r="B342" i="1"/>
  <c r="E341" i="1"/>
  <c r="B341" i="1"/>
  <c r="E340" i="1"/>
  <c r="B340" i="1"/>
  <c r="E339" i="1"/>
  <c r="B339" i="1"/>
  <c r="E338" i="1"/>
  <c r="B338" i="1"/>
  <c r="E337" i="1"/>
  <c r="B337" i="1"/>
  <c r="E336" i="1"/>
  <c r="B336" i="1"/>
  <c r="E335" i="1"/>
  <c r="B335" i="1"/>
  <c r="E334" i="1"/>
  <c r="B334" i="1"/>
  <c r="E333" i="1"/>
  <c r="B333" i="1"/>
  <c r="E332" i="1"/>
  <c r="B332" i="1"/>
  <c r="E331" i="1"/>
  <c r="B331" i="1"/>
  <c r="E330" i="1"/>
  <c r="B330" i="1"/>
  <c r="E329" i="1"/>
  <c r="B329" i="1"/>
  <c r="E328" i="1"/>
  <c r="B328" i="1"/>
  <c r="E327" i="1"/>
  <c r="B327" i="1"/>
  <c r="E326" i="1"/>
  <c r="B326" i="1"/>
  <c r="E325" i="1"/>
  <c r="B325" i="1"/>
  <c r="E324" i="1"/>
  <c r="B324" i="1"/>
  <c r="E323" i="1"/>
  <c r="B323" i="1"/>
  <c r="E322" i="1"/>
  <c r="B322" i="1"/>
  <c r="E321" i="1"/>
  <c r="B321" i="1"/>
  <c r="E320" i="1"/>
  <c r="B320" i="1"/>
  <c r="E319" i="1"/>
  <c r="B319" i="1"/>
  <c r="E318" i="1"/>
  <c r="B318" i="1"/>
  <c r="E317" i="1"/>
  <c r="B317" i="1"/>
  <c r="E316" i="1"/>
  <c r="B316" i="1"/>
  <c r="E315" i="1"/>
  <c r="B315" i="1"/>
  <c r="E314" i="1"/>
  <c r="B314" i="1"/>
  <c r="E313" i="1"/>
  <c r="B313" i="1"/>
  <c r="E312" i="1"/>
  <c r="B312" i="1"/>
  <c r="E311" i="1"/>
  <c r="B311" i="1"/>
  <c r="E310" i="1"/>
  <c r="B310" i="1"/>
  <c r="E309" i="1"/>
  <c r="B309" i="1"/>
  <c r="E308" i="1"/>
  <c r="B308" i="1"/>
  <c r="E307" i="1"/>
  <c r="B307" i="1"/>
  <c r="E306" i="1"/>
  <c r="B306" i="1"/>
  <c r="E305" i="1"/>
  <c r="B305" i="1"/>
  <c r="E304" i="1"/>
  <c r="B304" i="1"/>
  <c r="E303" i="1"/>
  <c r="B303" i="1"/>
  <c r="E302" i="1"/>
  <c r="B302" i="1"/>
  <c r="E301" i="1"/>
  <c r="B301" i="1"/>
  <c r="E300" i="1"/>
  <c r="B300" i="1"/>
  <c r="E299" i="1"/>
  <c r="B299" i="1"/>
  <c r="E298" i="1"/>
  <c r="B298" i="1"/>
  <c r="E297" i="1"/>
  <c r="B297" i="1"/>
  <c r="E296" i="1"/>
  <c r="B296" i="1"/>
  <c r="E295" i="1"/>
  <c r="B295" i="1"/>
  <c r="E294" i="1"/>
  <c r="B294" i="1"/>
  <c r="E293" i="1"/>
  <c r="B293" i="1"/>
  <c r="E292" i="1"/>
  <c r="B292" i="1"/>
  <c r="E291" i="1"/>
  <c r="B291" i="1"/>
  <c r="E290" i="1"/>
  <c r="B290" i="1"/>
  <c r="E289" i="1"/>
  <c r="B289" i="1"/>
  <c r="E288" i="1"/>
  <c r="B288" i="1"/>
  <c r="E287" i="1"/>
  <c r="B287" i="1"/>
  <c r="E286" i="1"/>
  <c r="B286" i="1"/>
  <c r="E285" i="1"/>
  <c r="B285" i="1"/>
  <c r="E284" i="1"/>
  <c r="B284" i="1"/>
  <c r="E283" i="1"/>
  <c r="B283" i="1"/>
  <c r="E282" i="1"/>
  <c r="B282" i="1"/>
  <c r="E281" i="1"/>
  <c r="B281" i="1"/>
  <c r="E280" i="1"/>
  <c r="B280" i="1"/>
  <c r="E279" i="1"/>
  <c r="B279" i="1"/>
  <c r="E278" i="1"/>
  <c r="B278" i="1"/>
  <c r="E277" i="1"/>
  <c r="B277" i="1"/>
  <c r="E276" i="1"/>
  <c r="B276" i="1"/>
  <c r="E275" i="1"/>
  <c r="B275" i="1"/>
  <c r="E274" i="1"/>
  <c r="B274" i="1"/>
  <c r="E273" i="1"/>
  <c r="B273" i="1"/>
  <c r="E272" i="1"/>
  <c r="B272" i="1"/>
  <c r="E271" i="1"/>
  <c r="B271" i="1"/>
  <c r="E270" i="1"/>
  <c r="B270" i="1"/>
  <c r="E269" i="1"/>
  <c r="B269" i="1"/>
  <c r="E268" i="1"/>
  <c r="B268" i="1"/>
  <c r="E267" i="1"/>
  <c r="B267" i="1"/>
  <c r="E266" i="1"/>
  <c r="B266" i="1"/>
  <c r="E265" i="1"/>
  <c r="B265" i="1"/>
  <c r="E264" i="1"/>
  <c r="B264" i="1"/>
  <c r="E263" i="1"/>
  <c r="B263" i="1"/>
  <c r="E262" i="1"/>
  <c r="B262" i="1"/>
  <c r="E261" i="1"/>
  <c r="B261" i="1"/>
  <c r="E260" i="1"/>
  <c r="B260" i="1"/>
  <c r="E259" i="1"/>
  <c r="B259" i="1"/>
  <c r="E258" i="1"/>
  <c r="B258" i="1"/>
  <c r="E257" i="1"/>
  <c r="B257" i="1"/>
  <c r="E256" i="1"/>
  <c r="B256" i="1"/>
  <c r="E255" i="1"/>
  <c r="B255" i="1"/>
  <c r="E254" i="1"/>
  <c r="B254" i="1"/>
  <c r="E253" i="1"/>
  <c r="B253" i="1"/>
  <c r="E252" i="1"/>
  <c r="B252" i="1"/>
  <c r="E251" i="1"/>
  <c r="B251" i="1"/>
  <c r="E250" i="1"/>
  <c r="B250" i="1"/>
  <c r="E249" i="1"/>
  <c r="B249" i="1"/>
  <c r="E248" i="1"/>
  <c r="B248" i="1"/>
  <c r="E247" i="1"/>
  <c r="B247" i="1"/>
  <c r="E246" i="1"/>
  <c r="B246" i="1"/>
  <c r="E245" i="1"/>
  <c r="B245" i="1"/>
  <c r="E244" i="1"/>
  <c r="B244" i="1"/>
  <c r="E243" i="1"/>
  <c r="B243" i="1"/>
  <c r="E242" i="1"/>
  <c r="B242" i="1"/>
  <c r="E241" i="1"/>
  <c r="B241" i="1"/>
  <c r="E240" i="1"/>
  <c r="B240" i="1"/>
  <c r="E239" i="1"/>
  <c r="B239" i="1"/>
  <c r="E238" i="1"/>
  <c r="B238" i="1"/>
  <c r="E237" i="1"/>
  <c r="B237" i="1"/>
  <c r="E236" i="1"/>
  <c r="B236" i="1"/>
  <c r="E235" i="1"/>
  <c r="B235" i="1"/>
  <c r="E234" i="1"/>
  <c r="B234" i="1"/>
  <c r="E233" i="1"/>
  <c r="B233" i="1"/>
  <c r="E232" i="1"/>
  <c r="B232" i="1"/>
  <c r="E231" i="1"/>
  <c r="B231" i="1"/>
  <c r="E230" i="1"/>
  <c r="B230" i="1"/>
  <c r="E229" i="1"/>
  <c r="B229" i="1"/>
  <c r="E228" i="1"/>
  <c r="B228" i="1"/>
  <c r="E227" i="1"/>
  <c r="B227" i="1"/>
  <c r="E226" i="1"/>
  <c r="B226" i="1"/>
  <c r="E225" i="1"/>
  <c r="B225" i="1"/>
  <c r="E224" i="1"/>
  <c r="B224" i="1"/>
  <c r="E223" i="1"/>
  <c r="B223" i="1"/>
  <c r="E222" i="1"/>
  <c r="B222" i="1"/>
  <c r="E221" i="1"/>
  <c r="B221" i="1"/>
  <c r="E220" i="1"/>
  <c r="B220" i="1"/>
  <c r="E219" i="1"/>
  <c r="B219" i="1"/>
  <c r="E218" i="1"/>
  <c r="B218" i="1"/>
  <c r="E217" i="1"/>
  <c r="B217" i="1"/>
  <c r="E216" i="1"/>
  <c r="B216" i="1"/>
  <c r="E215" i="1"/>
  <c r="B215" i="1"/>
  <c r="E214" i="1"/>
  <c r="B214" i="1"/>
  <c r="E213" i="1"/>
  <c r="B213" i="1"/>
  <c r="E212" i="1"/>
  <c r="B212" i="1"/>
  <c r="E211" i="1"/>
  <c r="B211" i="1"/>
  <c r="E210" i="1"/>
  <c r="B210" i="1"/>
  <c r="E209" i="1"/>
  <c r="B209" i="1"/>
  <c r="E208" i="1"/>
  <c r="B208" i="1"/>
  <c r="E207" i="1"/>
  <c r="B207" i="1"/>
  <c r="E206" i="1"/>
  <c r="B206" i="1"/>
  <c r="E205" i="1"/>
  <c r="B205" i="1"/>
  <c r="E204" i="1"/>
  <c r="B204" i="1"/>
  <c r="E203" i="1"/>
  <c r="B203" i="1"/>
  <c r="E202" i="1"/>
  <c r="B202" i="1"/>
  <c r="E201" i="1"/>
  <c r="B201" i="1"/>
  <c r="E200" i="1"/>
  <c r="B200" i="1"/>
  <c r="E199" i="1"/>
  <c r="B199" i="1"/>
  <c r="E198" i="1"/>
  <c r="B198" i="1"/>
  <c r="E197" i="1"/>
  <c r="B197" i="1"/>
  <c r="E196" i="1"/>
  <c r="B196" i="1"/>
  <c r="E195" i="1"/>
  <c r="B195" i="1"/>
  <c r="E194" i="1"/>
  <c r="B194" i="1"/>
  <c r="E193" i="1"/>
  <c r="B193" i="1"/>
  <c r="E192" i="1"/>
  <c r="B192" i="1"/>
  <c r="E191" i="1"/>
  <c r="B191" i="1"/>
  <c r="E190" i="1"/>
  <c r="B190" i="1"/>
  <c r="E189" i="1"/>
  <c r="B189" i="1"/>
  <c r="E188" i="1"/>
  <c r="B188" i="1"/>
  <c r="E187" i="1"/>
  <c r="B187" i="1"/>
  <c r="E186" i="1"/>
  <c r="B186" i="1"/>
  <c r="E185" i="1"/>
  <c r="B185" i="1"/>
  <c r="E184" i="1"/>
  <c r="B184" i="1"/>
  <c r="E183" i="1"/>
  <c r="B183" i="1"/>
  <c r="E182" i="1"/>
  <c r="B182" i="1"/>
  <c r="E181" i="1"/>
  <c r="B181" i="1"/>
  <c r="E180" i="1"/>
  <c r="B180" i="1"/>
  <c r="E179" i="1"/>
  <c r="B179" i="1"/>
  <c r="E178" i="1"/>
  <c r="B178" i="1"/>
  <c r="E177" i="1"/>
  <c r="B177" i="1"/>
  <c r="E176" i="1"/>
  <c r="B176" i="1"/>
  <c r="E175" i="1"/>
  <c r="B175" i="1"/>
  <c r="E174" i="1"/>
  <c r="B174" i="1"/>
  <c r="E173" i="1"/>
  <c r="B173" i="1"/>
  <c r="E172" i="1"/>
  <c r="B172" i="1"/>
  <c r="E171" i="1"/>
  <c r="B171" i="1"/>
  <c r="E170" i="1"/>
  <c r="B170" i="1"/>
  <c r="E169" i="1"/>
  <c r="B169" i="1"/>
  <c r="E168" i="1"/>
  <c r="B168" i="1"/>
  <c r="E167" i="1"/>
  <c r="B167" i="1"/>
  <c r="E166" i="1"/>
  <c r="B166" i="1"/>
  <c r="E165" i="1"/>
  <c r="B165" i="1"/>
  <c r="E164" i="1"/>
  <c r="B164" i="1"/>
  <c r="E163" i="1"/>
  <c r="B163" i="1"/>
  <c r="E162" i="1"/>
  <c r="B162" i="1"/>
  <c r="E161" i="1"/>
  <c r="B161" i="1"/>
  <c r="E160" i="1"/>
  <c r="B160" i="1"/>
  <c r="E159" i="1"/>
  <c r="B159" i="1"/>
  <c r="E158" i="1"/>
  <c r="B158" i="1"/>
  <c r="E157" i="1"/>
  <c r="B157" i="1"/>
  <c r="E156" i="1"/>
  <c r="B156" i="1"/>
  <c r="E155" i="1"/>
  <c r="B155" i="1"/>
  <c r="E154" i="1"/>
  <c r="B154" i="1"/>
  <c r="E153" i="1"/>
  <c r="B153" i="1"/>
  <c r="E152" i="1"/>
  <c r="B152" i="1"/>
  <c r="E151" i="1"/>
  <c r="B151" i="1"/>
  <c r="E150" i="1"/>
  <c r="B150" i="1"/>
  <c r="E149" i="1"/>
  <c r="B149" i="1"/>
  <c r="E148" i="1"/>
  <c r="B148" i="1"/>
  <c r="E147" i="1"/>
  <c r="B147" i="1"/>
  <c r="E146" i="1"/>
  <c r="B146" i="1"/>
  <c r="E145" i="1" l="1"/>
  <c r="B145" i="1"/>
  <c r="E144" i="1"/>
  <c r="B144" i="1"/>
  <c r="E143" i="1"/>
  <c r="B143" i="1"/>
  <c r="E142" i="1"/>
  <c r="B142" i="1"/>
  <c r="E141" i="1"/>
  <c r="B141" i="1"/>
  <c r="E140" i="1"/>
  <c r="B140" i="1"/>
  <c r="E139" i="1"/>
  <c r="B139" i="1"/>
  <c r="E138" i="1"/>
  <c r="B138" i="1"/>
  <c r="E137" i="1"/>
  <c r="B137" i="1"/>
  <c r="E136" i="1"/>
  <c r="B136" i="1"/>
  <c r="E135" i="1"/>
  <c r="B135" i="1"/>
  <c r="E134" i="1"/>
  <c r="B134" i="1"/>
  <c r="E133" i="1"/>
  <c r="B133" i="1"/>
  <c r="E132" i="1"/>
  <c r="B132" i="1"/>
  <c r="E131" i="1"/>
  <c r="B131" i="1"/>
  <c r="E130" i="1"/>
  <c r="B130" i="1"/>
  <c r="E129" i="1"/>
  <c r="B129" i="1"/>
  <c r="E128" i="1"/>
  <c r="B128" i="1"/>
  <c r="E127" i="1"/>
  <c r="B127" i="1"/>
  <c r="E126" i="1"/>
  <c r="B126" i="1"/>
  <c r="E125" i="1"/>
  <c r="B125" i="1"/>
  <c r="E124" i="1"/>
  <c r="B124" i="1"/>
  <c r="E123" i="1"/>
  <c r="B123" i="1"/>
  <c r="E122" i="1"/>
  <c r="B122" i="1"/>
  <c r="E121" i="1"/>
  <c r="B121" i="1"/>
  <c r="E120" i="1"/>
  <c r="B120" i="1"/>
  <c r="E119" i="1"/>
  <c r="B119" i="1"/>
  <c r="E118" i="1"/>
  <c r="B118" i="1"/>
  <c r="E117" i="1"/>
  <c r="B117" i="1"/>
  <c r="E116" i="1"/>
  <c r="B116" i="1"/>
  <c r="E115" i="1"/>
  <c r="B115" i="1"/>
  <c r="E114" i="1"/>
  <c r="B114" i="1"/>
  <c r="E113" i="1"/>
  <c r="B113" i="1"/>
  <c r="E112" i="1"/>
  <c r="B112" i="1"/>
  <c r="E111" i="1"/>
  <c r="B111" i="1"/>
  <c r="E110" i="1"/>
  <c r="B110" i="1"/>
  <c r="E109" i="1"/>
  <c r="B109" i="1"/>
  <c r="E108" i="1"/>
  <c r="B108" i="1"/>
  <c r="E107" i="1"/>
  <c r="B107" i="1"/>
  <c r="E106" i="1"/>
  <c r="B106" i="1"/>
  <c r="E105" i="1"/>
  <c r="B105" i="1"/>
  <c r="E104" i="1"/>
  <c r="B104" i="1"/>
  <c r="E103" i="1"/>
  <c r="B103" i="1"/>
  <c r="E102" i="1"/>
  <c r="B102" i="1"/>
  <c r="E101" i="1"/>
  <c r="B101" i="1"/>
  <c r="E100" i="1"/>
  <c r="B100" i="1"/>
  <c r="E99" i="1"/>
  <c r="B99" i="1"/>
  <c r="E98" i="1"/>
  <c r="B98" i="1"/>
  <c r="E97" i="1"/>
  <c r="B97" i="1"/>
  <c r="E96" i="1"/>
  <c r="B96" i="1"/>
  <c r="E95" i="1"/>
  <c r="B95" i="1"/>
  <c r="E94" i="1"/>
  <c r="B94" i="1"/>
  <c r="E93" i="1"/>
  <c r="B93" i="1"/>
  <c r="E92" i="1"/>
  <c r="B92" i="1"/>
  <c r="E91" i="1"/>
  <c r="B91" i="1"/>
  <c r="E90" i="1"/>
  <c r="B90" i="1"/>
  <c r="E89" i="1"/>
  <c r="B89" i="1"/>
  <c r="E88" i="1"/>
  <c r="B88" i="1"/>
  <c r="E87" i="1"/>
  <c r="B87" i="1"/>
  <c r="E86" i="1"/>
  <c r="B86" i="1"/>
  <c r="E85" i="1"/>
  <c r="B85" i="1"/>
  <c r="E84" i="1"/>
  <c r="B84" i="1"/>
  <c r="E83" i="1"/>
  <c r="B83" i="1"/>
  <c r="E82" i="1"/>
  <c r="B82" i="1"/>
  <c r="E81" i="1"/>
  <c r="B81" i="1"/>
  <c r="E80" i="1"/>
  <c r="B80" i="1"/>
  <c r="E79" i="1"/>
  <c r="B79" i="1"/>
  <c r="E78" i="1"/>
  <c r="B78" i="1"/>
  <c r="E77" i="1"/>
  <c r="B77" i="1"/>
  <c r="E76" i="1"/>
  <c r="B76" i="1"/>
  <c r="E75" i="1"/>
  <c r="B75" i="1"/>
  <c r="E74" i="1"/>
  <c r="B74" i="1"/>
  <c r="E73" i="1"/>
  <c r="B73" i="1"/>
  <c r="E72" i="1"/>
  <c r="B72" i="1"/>
  <c r="E71" i="1"/>
  <c r="B71" i="1"/>
  <c r="E70" i="1"/>
  <c r="B70" i="1"/>
  <c r="E69" i="1"/>
  <c r="B69" i="1"/>
  <c r="E68" i="1"/>
  <c r="B68" i="1"/>
  <c r="E67" i="1"/>
  <c r="B67" i="1"/>
  <c r="E66" i="1"/>
  <c r="B66" i="1"/>
  <c r="E65" i="1"/>
  <c r="B65" i="1"/>
  <c r="E64" i="1"/>
  <c r="B64" i="1"/>
  <c r="E63" i="1"/>
  <c r="B63" i="1"/>
  <c r="E62" i="1"/>
  <c r="B62" i="1"/>
  <c r="E61" i="1"/>
  <c r="B61" i="1"/>
  <c r="E60" i="1"/>
  <c r="B60" i="1"/>
  <c r="E59" i="1"/>
  <c r="B59" i="1"/>
  <c r="E58" i="1"/>
  <c r="B58" i="1"/>
  <c r="E57" i="1"/>
  <c r="B57" i="1"/>
  <c r="E56" i="1"/>
  <c r="B56" i="1"/>
  <c r="E55" i="1"/>
  <c r="B55" i="1"/>
  <c r="E54" i="1"/>
  <c r="B54" i="1"/>
  <c r="E53" i="1"/>
  <c r="B53" i="1"/>
  <c r="E52" i="1"/>
  <c r="B52" i="1"/>
  <c r="E51" i="1"/>
  <c r="B51" i="1"/>
  <c r="E50" i="1"/>
  <c r="B50" i="1"/>
  <c r="E49" i="1"/>
  <c r="B49" i="1"/>
  <c r="E48" i="1"/>
  <c r="B48" i="1"/>
  <c r="E47" i="1"/>
  <c r="B47" i="1"/>
  <c r="E46" i="1"/>
  <c r="B46" i="1"/>
  <c r="E45" i="1"/>
  <c r="B45" i="1"/>
  <c r="E44" i="1"/>
  <c r="B44" i="1"/>
  <c r="E43" i="1"/>
  <c r="B43" i="1"/>
  <c r="E42" i="1"/>
  <c r="B42" i="1"/>
  <c r="E41" i="1"/>
  <c r="B41" i="1"/>
  <c r="E40" i="1"/>
  <c r="B40" i="1"/>
  <c r="E39" i="1"/>
  <c r="B39" i="1"/>
  <c r="E38" i="1"/>
  <c r="B38" i="1"/>
  <c r="E37" i="1"/>
  <c r="B37" i="1"/>
  <c r="E36" i="1"/>
  <c r="B36" i="1"/>
  <c r="E35" i="1"/>
  <c r="B35" i="1"/>
  <c r="E34" i="1"/>
  <c r="B34" i="1"/>
  <c r="E33" i="1"/>
  <c r="B33" i="1"/>
  <c r="E32" i="1"/>
  <c r="B32" i="1"/>
  <c r="E31" i="1"/>
  <c r="B31" i="1"/>
  <c r="E30" i="1"/>
  <c r="B30" i="1"/>
  <c r="E29" i="1"/>
  <c r="B29" i="1"/>
  <c r="E28" i="1"/>
  <c r="B28" i="1"/>
  <c r="E27" i="1"/>
  <c r="B27" i="1"/>
  <c r="E26" i="1"/>
  <c r="B26" i="1"/>
  <c r="E25" i="1"/>
  <c r="B25" i="1"/>
  <c r="E24" i="1"/>
  <c r="B24" i="1"/>
  <c r="E23" i="1"/>
  <c r="B23" i="1"/>
  <c r="E22" i="1"/>
  <c r="B22" i="1"/>
  <c r="E21" i="1"/>
  <c r="B21" i="1"/>
  <c r="E20" i="1"/>
  <c r="B20" i="1"/>
  <c r="E19" i="1"/>
  <c r="B19" i="1"/>
  <c r="E18" i="1"/>
  <c r="B18" i="1"/>
  <c r="E17" i="1"/>
  <c r="B17" i="1"/>
  <c r="E16" i="1"/>
  <c r="B16" i="1"/>
  <c r="E15" i="1"/>
  <c r="B15" i="1"/>
  <c r="E14" i="1"/>
  <c r="B14" i="1"/>
  <c r="E13" i="1"/>
  <c r="E12" i="1"/>
  <c r="B12" i="1"/>
  <c r="E11" i="1"/>
  <c r="B11" i="1"/>
  <c r="E10" i="1"/>
  <c r="B10" i="1"/>
  <c r="E9" i="1"/>
  <c r="B9" i="1"/>
  <c r="E8" i="1"/>
  <c r="B8" i="1"/>
  <c r="E7" i="1"/>
  <c r="B7" i="1"/>
  <c r="E6" i="1"/>
  <c r="B6" i="1"/>
  <c r="E5" i="1"/>
  <c r="B5" i="1"/>
  <c r="E4" i="1"/>
  <c r="B4" i="1"/>
  <c r="E3" i="1"/>
  <c r="B3" i="1"/>
  <c r="E2" i="1"/>
  <c r="B2" i="1"/>
</calcChain>
</file>

<file path=xl/sharedStrings.xml><?xml version="1.0" encoding="utf-8"?>
<sst xmlns="http://schemas.openxmlformats.org/spreadsheetml/2006/main" count="42916" uniqueCount="2578">
  <si>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</si>
  <si>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</si>
  <si>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</si>
  <si>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</si>
  <si>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</si>
  <si>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</si>
  <si>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</si>
  <si>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</si>
  <si>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</si>
  <si>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</si>
  <si>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</si>
  <si>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</si>
  <si>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</si>
  <si>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</si>
  <si>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</si>
  <si>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</si>
  <si>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01/10/2020</t>
  </si>
  <si>
    <t>ON1</t>
  </si>
  <si>
    <t>JNX</t>
  </si>
  <si>
    <t>DUR</t>
  </si>
  <si>
    <t>DURBAN</t>
  </si>
  <si>
    <t>COMPRESSED AIR EQUIP</t>
  </si>
  <si>
    <t>02/10/2020</t>
  </si>
  <si>
    <t xml:space="preserve">                    </t>
  </si>
  <si>
    <t>OUT ON DELIVERY</t>
  </si>
  <si>
    <t>CPT</t>
  </si>
  <si>
    <t>CAPE TOWN</t>
  </si>
  <si>
    <t xml:space="preserve">CIM AUTOMATION      </t>
  </si>
  <si>
    <t xml:space="preserve">FESTO CPT           </t>
  </si>
  <si>
    <t xml:space="preserve">FESTO DUR OFFICE    </t>
  </si>
  <si>
    <t>GRJ</t>
  </si>
  <si>
    <t>PLETTENBERG BAY</t>
  </si>
  <si>
    <t xml:space="preserve">GREG PERKS          </t>
  </si>
  <si>
    <t>ELS</t>
  </si>
  <si>
    <t>EAST LONDON</t>
  </si>
  <si>
    <t>SKYNET WOLDWIDE EXPR</t>
  </si>
  <si>
    <t>PLZ</t>
  </si>
  <si>
    <t>PORT ELIZABETH</t>
  </si>
  <si>
    <t xml:space="preserve">FESTO PLZ           </t>
  </si>
  <si>
    <t>SOMERSET WEST</t>
  </si>
  <si>
    <t xml:space="preserve">GOSSAMER STRUCTURES </t>
  </si>
  <si>
    <t xml:space="preserve">COCA COLA LAKESIDE  </t>
  </si>
  <si>
    <t>PAARL</t>
  </si>
  <si>
    <t>H.G MOLENAAR (PTY) L</t>
  </si>
  <si>
    <t>PROGETTO INTERNATION</t>
  </si>
  <si>
    <t xml:space="preserve">ATT: FRANS KRUGER   </t>
  </si>
  <si>
    <t>KEMPTON PARK</t>
  </si>
  <si>
    <t xml:space="preserve">TRM SUPPLIES CC     </t>
  </si>
  <si>
    <t>EVANDER</t>
  </si>
  <si>
    <t>HMF TECHNOLOGIES (PT</t>
  </si>
  <si>
    <t>GERMISTON</t>
  </si>
  <si>
    <t xml:space="preserve">DISTELL             </t>
  </si>
  <si>
    <t>KRUGERSDORP</t>
  </si>
  <si>
    <t xml:space="preserve">RHODES FOOD GROUP   </t>
  </si>
  <si>
    <t>TENNECO RIDE CONTROL</t>
  </si>
  <si>
    <t xml:space="preserve">CONTINENTAL TYRE SA </t>
  </si>
  <si>
    <t xml:space="preserve">Marinda             </t>
  </si>
  <si>
    <t>BOKSBURG</t>
  </si>
  <si>
    <t xml:space="preserve">REGRADE MASTERS     </t>
  </si>
  <si>
    <t xml:space="preserve">AEL MINING SERVICES </t>
  </si>
  <si>
    <t xml:space="preserve">francina            </t>
  </si>
  <si>
    <t>SWELLENDAM</t>
  </si>
  <si>
    <t>SOUTHERN OIL LTD T A</t>
  </si>
  <si>
    <t>JOHANNESBURG</t>
  </si>
  <si>
    <t xml:space="preserve">SNEAKER SNACKS CC   </t>
  </si>
  <si>
    <t>ALBERTON</t>
  </si>
  <si>
    <t>THE SOUTH AFRICAN BR</t>
  </si>
  <si>
    <t>UITENHAGE</t>
  </si>
  <si>
    <t>GOODYEAR SOUTH AFRIC</t>
  </si>
  <si>
    <t xml:space="preserve">TI GROUP AUTOMOTIVE </t>
  </si>
  <si>
    <t>POLYOAK PACKAGING (P</t>
  </si>
  <si>
    <t xml:space="preserve">NESTLE SOUTH AFRICA </t>
  </si>
  <si>
    <t>REHAU POLYMER PTY LT</t>
  </si>
  <si>
    <t>UMHLANGA ROCKS</t>
  </si>
  <si>
    <t>SA SUGAR ASSOCIATION</t>
  </si>
  <si>
    <t>VICTORY ELECTRICAL C</t>
  </si>
  <si>
    <t>FILTEC AUTOMATION PT</t>
  </si>
  <si>
    <t>BAGTECH INTERNATIONA</t>
  </si>
  <si>
    <t>PZB</t>
  </si>
  <si>
    <t>PIETERMARITZBURG</t>
  </si>
  <si>
    <t>EGLI PRECISION ENGIN</t>
  </si>
  <si>
    <t>DIYA VALVES INTERNAT</t>
  </si>
  <si>
    <t>SASOLBURG</t>
  </si>
  <si>
    <t>COREL INSTRUMENTATIO</t>
  </si>
  <si>
    <t>ALBANY BAKERY A DIVI</t>
  </si>
  <si>
    <t>ISITHEBE</t>
  </si>
  <si>
    <t>TAURUS PAPER PRODUCT</t>
  </si>
  <si>
    <t xml:space="preserve">MAXION WHEELS SA    </t>
  </si>
  <si>
    <t>PRY</t>
  </si>
  <si>
    <t>HAMMANSKRAAL</t>
  </si>
  <si>
    <t>UNIVERSAL PAPER   PL</t>
  </si>
  <si>
    <t>ECHAR CONSTRACTION E</t>
  </si>
  <si>
    <t>RAPID INDUSTRIAL SUP</t>
  </si>
  <si>
    <t xml:space="preserve">BEARING MAN GROUP   </t>
  </si>
  <si>
    <t>FOXOLUTION SYSTEMS E</t>
  </si>
  <si>
    <t>DELMAS</t>
  </si>
  <si>
    <t>MCCAIN FOOD SOUTH AF</t>
  </si>
  <si>
    <t>NIGEL</t>
  </si>
  <si>
    <t>M   C BEARINGS   TRA</t>
  </si>
  <si>
    <t>UNION -SWISS PTY LTD</t>
  </si>
  <si>
    <t xml:space="preserve">BMG BELLVILLE 0120  </t>
  </si>
  <si>
    <t>WORLD POWER PRODUCTS</t>
  </si>
  <si>
    <t>EBERSPACHER SOUTH AF</t>
  </si>
  <si>
    <t xml:space="preserve">CAPITAL MAITANACE   </t>
  </si>
  <si>
    <t xml:space="preserve">CLURE PROJECTS CC   </t>
  </si>
  <si>
    <t>VANDERBIJLPARK</t>
  </si>
  <si>
    <t>DIVFOOD A DIV OF NAM</t>
  </si>
  <si>
    <t>BENONI</t>
  </si>
  <si>
    <t xml:space="preserve">AVION EAST RAND PTY </t>
  </si>
  <si>
    <t>PRETORIA</t>
  </si>
  <si>
    <t xml:space="preserve">MAVTECH             </t>
  </si>
  <si>
    <t>PINETOWN</t>
  </si>
  <si>
    <t>MAHLE BEHR SOUTH AFR</t>
  </si>
  <si>
    <t xml:space="preserve">CLIFFORD MACHINES   </t>
  </si>
  <si>
    <t>ISIPINGO</t>
  </si>
  <si>
    <t>AUTO INDUSTRIAL MACH</t>
  </si>
  <si>
    <t>RANDBURG</t>
  </si>
  <si>
    <t xml:space="preserve">TM ENGINEERING      </t>
  </si>
  <si>
    <t xml:space="preserve">TRUDA SNACKS        </t>
  </si>
  <si>
    <t>REEF CONSTRUCTION MA</t>
  </si>
  <si>
    <t>NEW</t>
  </si>
  <si>
    <t>LADYSMITH (NTL)</t>
  </si>
  <si>
    <t>LADYSMITH TRADING CO</t>
  </si>
  <si>
    <t>NR EXTREME ENGINEERI</t>
  </si>
  <si>
    <t>UNILEVER S.A (PTY)LT</t>
  </si>
  <si>
    <t>MALMESBURY</t>
  </si>
  <si>
    <t xml:space="preserve">HYDROMATIC          </t>
  </si>
  <si>
    <t>FUEL INDUSTRY SERVIC</t>
  </si>
  <si>
    <t xml:space="preserve">ABI DIV OF SAB LTD  </t>
  </si>
  <si>
    <t xml:space="preserve">sugen               </t>
  </si>
  <si>
    <t>AMANZIMTOTI</t>
  </si>
  <si>
    <t xml:space="preserve">DES GROUP (PTY) LTD </t>
  </si>
  <si>
    <t>UMKOMAAS</t>
  </si>
  <si>
    <t>FONTANA MANUFACTURER</t>
  </si>
  <si>
    <t>DESPATCH</t>
  </si>
  <si>
    <t xml:space="preserve">DKT   PARTNERS      </t>
  </si>
  <si>
    <t>PORT SHEPSTONE</t>
  </si>
  <si>
    <t>HYDROMATIC ENTERPRIS</t>
  </si>
  <si>
    <t xml:space="preserve">FOUNTAIN INDUSTRIES </t>
  </si>
  <si>
    <t>ANG INDUSTRIAL SOLUT</t>
  </si>
  <si>
    <t xml:space="preserve">Christiaan          </t>
  </si>
  <si>
    <t>CSM BEARING AND PNEU</t>
  </si>
  <si>
    <t xml:space="preserve">BRIDGE PROCUREMENT  </t>
  </si>
  <si>
    <t xml:space="preserve">PNEUMATIC AID       </t>
  </si>
  <si>
    <t xml:space="preserve">Audrey              </t>
  </si>
  <si>
    <t>VOLKSWAGEN OF SA (VC</t>
  </si>
  <si>
    <t xml:space="preserve">BENTELER AUTOMOTIVE </t>
  </si>
  <si>
    <t>GEORGE</t>
  </si>
  <si>
    <t xml:space="preserve">SANMIK AGENCIES CC  </t>
  </si>
  <si>
    <t>STANGER</t>
  </si>
  <si>
    <t xml:space="preserve">SAPPI SA            </t>
  </si>
  <si>
    <t>PHARMACEUTICAL CONTR</t>
  </si>
  <si>
    <t>SMA ENGINEERING S.A.</t>
  </si>
  <si>
    <t xml:space="preserve">METROCAS CC         </t>
  </si>
  <si>
    <t>TI AUTOMOTIVE FUEL S</t>
  </si>
  <si>
    <t xml:space="preserve">PROMAX              </t>
  </si>
  <si>
    <t xml:space="preserve">WOODTECH            </t>
  </si>
  <si>
    <t>RANDFONTEIN</t>
  </si>
  <si>
    <t>WILMAR CONTINENTAL E</t>
  </si>
  <si>
    <t>HOWICK</t>
  </si>
  <si>
    <t xml:space="preserve">SPRING MEADOW DAIRY </t>
  </si>
  <si>
    <t>SOUTHERN PULP MACHIN</t>
  </si>
  <si>
    <t>JENDAMARK AUTOMATION</t>
  </si>
  <si>
    <t>MIDRAND</t>
  </si>
  <si>
    <t>COLLABORATIVE PACKIN</t>
  </si>
  <si>
    <t xml:space="preserve">MEGA - PAK          </t>
  </si>
  <si>
    <t xml:space="preserve">UNILEVER SA PTY LTD </t>
  </si>
  <si>
    <t>KENZEL ENGINEERING T</t>
  </si>
  <si>
    <t xml:space="preserve">ILLOVO SUGAR LTD    </t>
  </si>
  <si>
    <t xml:space="preserve">KRONES SA PTY LTD   </t>
  </si>
  <si>
    <t xml:space="preserve">Festo               </t>
  </si>
  <si>
    <t xml:space="preserve">marius              </t>
  </si>
  <si>
    <t xml:space="preserve">Peter               </t>
  </si>
  <si>
    <t xml:space="preserve">erol                </t>
  </si>
  <si>
    <t>05/10/2020</t>
  </si>
  <si>
    <t>OUTSTANDING POD</t>
  </si>
  <si>
    <t xml:space="preserve">signed              </t>
  </si>
  <si>
    <t xml:space="preserve">pgfFcl              </t>
  </si>
  <si>
    <t xml:space="preserve">janine              </t>
  </si>
  <si>
    <t xml:space="preserve">asemahle            </t>
  </si>
  <si>
    <t xml:space="preserve">Werner              </t>
  </si>
  <si>
    <t xml:space="preserve">Nico                </t>
  </si>
  <si>
    <t xml:space="preserve">Joan                </t>
  </si>
  <si>
    <t xml:space="preserve">steven              </t>
  </si>
  <si>
    <t xml:space="preserve">Maila               </t>
  </si>
  <si>
    <t xml:space="preserve">illage              </t>
  </si>
  <si>
    <t xml:space="preserve">wafa                </t>
  </si>
  <si>
    <t xml:space="preserve">cathy               </t>
  </si>
  <si>
    <t xml:space="preserve">sipho               </t>
  </si>
  <si>
    <t xml:space="preserve">lerato              </t>
  </si>
  <si>
    <t xml:space="preserve">nomvuzo             </t>
  </si>
  <si>
    <t xml:space="preserve">Tfill               </t>
  </si>
  <si>
    <t xml:space="preserve">taniel              </t>
  </si>
  <si>
    <t xml:space="preserve">dylan               </t>
  </si>
  <si>
    <t xml:space="preserve">deon                </t>
  </si>
  <si>
    <t xml:space="preserve">redlin              </t>
  </si>
  <si>
    <t xml:space="preserve">rikus               </t>
  </si>
  <si>
    <t xml:space="preserve">navin               </t>
  </si>
  <si>
    <t xml:space="preserve">Jarrad              </t>
  </si>
  <si>
    <t xml:space="preserve">Vukile              </t>
  </si>
  <si>
    <t xml:space="preserve">Reshik              </t>
  </si>
  <si>
    <t xml:space="preserve">j walker            </t>
  </si>
  <si>
    <t xml:space="preserve">ronald              </t>
  </si>
  <si>
    <t xml:space="preserve">ROSE                </t>
  </si>
  <si>
    <t xml:space="preserve">letta               </t>
  </si>
  <si>
    <t>RD</t>
  </si>
  <si>
    <t>JNB</t>
  </si>
  <si>
    <t>PRX</t>
  </si>
  <si>
    <t xml:space="preserve">M M Tsonope         </t>
  </si>
  <si>
    <t xml:space="preserve">charamba            </t>
  </si>
  <si>
    <t xml:space="preserve">smanga              </t>
  </si>
  <si>
    <t xml:space="preserve">nichael             </t>
  </si>
  <si>
    <t xml:space="preserve">Rashni              </t>
  </si>
  <si>
    <t xml:space="preserve">PETER               </t>
  </si>
  <si>
    <t xml:space="preserve">mari                </t>
  </si>
  <si>
    <t xml:space="preserve">Steven              </t>
  </si>
  <si>
    <t xml:space="preserve">mpumelelo           </t>
  </si>
  <si>
    <t xml:space="preserve">Arthur              </t>
  </si>
  <si>
    <t xml:space="preserve">rosalisa            </t>
  </si>
  <si>
    <t xml:space="preserve">victor              </t>
  </si>
  <si>
    <t xml:space="preserve">james               </t>
  </si>
  <si>
    <t xml:space="preserve">Marlon              </t>
  </si>
  <si>
    <t xml:space="preserve">CHRISTAAN           </t>
  </si>
  <si>
    <t xml:space="preserve">MORNE               </t>
  </si>
  <si>
    <t xml:space="preserve">Louisa              </t>
  </si>
  <si>
    <t xml:space="preserve">Andile              </t>
  </si>
  <si>
    <t xml:space="preserve">Cedric 09 24        </t>
  </si>
  <si>
    <t xml:space="preserve">willie              </t>
  </si>
  <si>
    <t xml:space="preserve">valen               </t>
  </si>
  <si>
    <t xml:space="preserve">Aslam               </t>
  </si>
  <si>
    <t xml:space="preserve">Kenneth             </t>
  </si>
  <si>
    <t xml:space="preserve">ESTON               </t>
  </si>
  <si>
    <t xml:space="preserve">nickz               </t>
  </si>
  <si>
    <t xml:space="preserve">nicholas            </t>
  </si>
  <si>
    <t xml:space="preserve">sabelo              </t>
  </si>
  <si>
    <t xml:space="preserve">danny               </t>
  </si>
  <si>
    <t xml:space="preserve">muzie               </t>
  </si>
  <si>
    <t xml:space="preserve">chris               </t>
  </si>
  <si>
    <t xml:space="preserve">helene              </t>
  </si>
  <si>
    <t xml:space="preserve">garth               </t>
  </si>
  <si>
    <t xml:space="preserve">Veronica            </t>
  </si>
  <si>
    <t xml:space="preserve">Morne               </t>
  </si>
  <si>
    <t xml:space="preserve">nepkter             </t>
  </si>
  <si>
    <t xml:space="preserve">Rochelle            </t>
  </si>
  <si>
    <t xml:space="preserve">mark                </t>
  </si>
  <si>
    <t xml:space="preserve">clive               </t>
  </si>
  <si>
    <t xml:space="preserve">d pillay            </t>
  </si>
  <si>
    <t xml:space="preserve">Jock                </t>
  </si>
  <si>
    <t xml:space="preserve">bayond              </t>
  </si>
  <si>
    <t xml:space="preserve">Raymond             </t>
  </si>
  <si>
    <t xml:space="preserve">Joyce               </t>
  </si>
  <si>
    <t xml:space="preserve">Marenique           </t>
  </si>
  <si>
    <t xml:space="preserve">Qyona               </t>
  </si>
  <si>
    <t xml:space="preserve">kelly               </t>
  </si>
  <si>
    <t xml:space="preserve">dennis              </t>
  </si>
  <si>
    <t xml:space="preserve">Bazier              </t>
  </si>
  <si>
    <t xml:space="preserve">mathee              </t>
  </si>
  <si>
    <t xml:space="preserve">Ruth                </t>
  </si>
  <si>
    <t xml:space="preserve">MOGESHNEE           </t>
  </si>
  <si>
    <t xml:space="preserve">nikesh              </t>
  </si>
  <si>
    <t xml:space="preserve">ZAKES               </t>
  </si>
  <si>
    <t xml:space="preserve">Martin              </t>
  </si>
  <si>
    <t xml:space="preserve">Robby               </t>
  </si>
  <si>
    <t xml:space="preserve">baij                </t>
  </si>
  <si>
    <t xml:space="preserve">G  Peries           </t>
  </si>
  <si>
    <t xml:space="preserve">A Chetty            </t>
  </si>
  <si>
    <t xml:space="preserve">wez                 </t>
  </si>
  <si>
    <t xml:space="preserve">Vishnu              </t>
  </si>
  <si>
    <t xml:space="preserve">shaakir             </t>
  </si>
  <si>
    <t>JACOBS</t>
  </si>
  <si>
    <t xml:space="preserve">TROPICAL PLASTICS   </t>
  </si>
  <si>
    <t xml:space="preserve">Abbas               </t>
  </si>
  <si>
    <t xml:space="preserve">EXCEL TOOLING       </t>
  </si>
  <si>
    <t xml:space="preserve">Gwen                </t>
  </si>
  <si>
    <t xml:space="preserve">Thembi              </t>
  </si>
  <si>
    <t xml:space="preserve">FORD MOTORING CO OF </t>
  </si>
  <si>
    <t xml:space="preserve">moloto              </t>
  </si>
  <si>
    <t xml:space="preserve">blommech            </t>
  </si>
  <si>
    <t xml:space="preserve">Helen               </t>
  </si>
  <si>
    <t>SCHAEFFLER SOUTH AFR</t>
  </si>
  <si>
    <t xml:space="preserve">DISTELL (PTY) LTD   </t>
  </si>
  <si>
    <t>TONGAAT HULLETTS GRO</t>
  </si>
  <si>
    <t xml:space="preserve">dean                </t>
  </si>
  <si>
    <t xml:space="preserve">CLOVER SA (PTY) LTD </t>
  </si>
  <si>
    <t xml:space="preserve">NACHES              </t>
  </si>
  <si>
    <t xml:space="preserve">CONSOL GLASS        </t>
  </si>
  <si>
    <t xml:space="preserve">wiliam              </t>
  </si>
  <si>
    <t xml:space="preserve">MAINSTREET 1310     </t>
  </si>
  <si>
    <t xml:space="preserve">Esther              </t>
  </si>
  <si>
    <t xml:space="preserve">Abigail             </t>
  </si>
  <si>
    <t>SPRINGS</t>
  </si>
  <si>
    <t>ELEMENT SIX PRODUCTI</t>
  </si>
  <si>
    <t xml:space="preserve">paulos              </t>
  </si>
  <si>
    <t>MACSTEEL COIL PROCES</t>
  </si>
  <si>
    <t xml:space="preserve">Andries             </t>
  </si>
  <si>
    <t xml:space="preserve">ntsako              </t>
  </si>
  <si>
    <t>REEF ENGINEERING   M</t>
  </si>
  <si>
    <t xml:space="preserve">Engelo              </t>
  </si>
  <si>
    <t>AM SYSTEMS INTEGRATI</t>
  </si>
  <si>
    <t xml:space="preserve">ian ian             </t>
  </si>
  <si>
    <t xml:space="preserve">sbongiseni          </t>
  </si>
  <si>
    <t xml:space="preserve">MYKATRADE 39CC      </t>
  </si>
  <si>
    <t xml:space="preserve">Nonvila             </t>
  </si>
  <si>
    <t xml:space="preserve">MSG SYSTEMS         </t>
  </si>
  <si>
    <t xml:space="preserve">Yamkeka             </t>
  </si>
  <si>
    <t xml:space="preserve">Nandipha            </t>
  </si>
  <si>
    <t xml:space="preserve">Austin              </t>
  </si>
  <si>
    <t xml:space="preserve">Yamkela             </t>
  </si>
  <si>
    <t xml:space="preserve">lifa                </t>
  </si>
  <si>
    <t xml:space="preserve">GREIF SA PTY LTD    </t>
  </si>
  <si>
    <t xml:space="preserve">vusi                </t>
  </si>
  <si>
    <t xml:space="preserve">nomvuyo             </t>
  </si>
  <si>
    <t xml:space="preserve">VOLKSWAGEN OF SA    </t>
  </si>
  <si>
    <t xml:space="preserve">FLEXICON AFRICA PTY </t>
  </si>
  <si>
    <t xml:space="preserve">A C Meyer           </t>
  </si>
  <si>
    <t xml:space="preserve">ELECTRONIC   POWER  </t>
  </si>
  <si>
    <t xml:space="preserve">mavis               </t>
  </si>
  <si>
    <t>FIRST NATIONAL BATTE</t>
  </si>
  <si>
    <t xml:space="preserve">BUYIKLE             </t>
  </si>
  <si>
    <t xml:space="preserve">BORBET SA (PTY) LTD </t>
  </si>
  <si>
    <t xml:space="preserve">C DANIELS           </t>
  </si>
  <si>
    <t>GEO</t>
  </si>
  <si>
    <t>KLEINBOS</t>
  </si>
  <si>
    <t>SWARTLAND BOUDIENSTE</t>
  </si>
  <si>
    <t xml:space="preserve">ELVIS               </t>
  </si>
  <si>
    <t xml:space="preserve">BUYILE              </t>
  </si>
  <si>
    <t xml:space="preserve">Janine              </t>
  </si>
  <si>
    <t>UNILEVER SOUTH AFRIC</t>
  </si>
  <si>
    <t xml:space="preserve">lee                 </t>
  </si>
  <si>
    <t>VEREENIGING</t>
  </si>
  <si>
    <t>CBI ELECTRIC AFRICAN</t>
  </si>
  <si>
    <t xml:space="preserve">DIRECTECH           </t>
  </si>
  <si>
    <t xml:space="preserve">teboho              </t>
  </si>
  <si>
    <t xml:space="preserve">Mitchell            </t>
  </si>
  <si>
    <t xml:space="preserve">happy               </t>
  </si>
  <si>
    <t xml:space="preserve">Thabiso             </t>
  </si>
  <si>
    <t xml:space="preserve">moloko              </t>
  </si>
  <si>
    <t>VAKTIN HYDRAULICS (P</t>
  </si>
  <si>
    <t xml:space="preserve">Lincki              </t>
  </si>
  <si>
    <t>RCL FOODS CONSUMER B</t>
  </si>
  <si>
    <t xml:space="preserve">Frank               </t>
  </si>
  <si>
    <t>CONSOLIDATED WIRE IN</t>
  </si>
  <si>
    <t xml:space="preserve">supra               </t>
  </si>
  <si>
    <t xml:space="preserve">MONDI LIMITED       </t>
  </si>
  <si>
    <t xml:space="preserve">Rama                </t>
  </si>
  <si>
    <t>WORCESTER</t>
  </si>
  <si>
    <t>RCL FOODS CONSUMER P</t>
  </si>
  <si>
    <t>RCL FOODCORP (PTY) L</t>
  </si>
  <si>
    <t xml:space="preserve">coper               </t>
  </si>
  <si>
    <t xml:space="preserve">PREMIER FOODS (PTY) </t>
  </si>
  <si>
    <t xml:space="preserve">david               </t>
  </si>
  <si>
    <t xml:space="preserve">SDK AGENCIES CC     </t>
  </si>
  <si>
    <t xml:space="preserve">stok                </t>
  </si>
  <si>
    <t>CONSOL GLASS (PTY) L</t>
  </si>
  <si>
    <t xml:space="preserve">illeg               </t>
  </si>
  <si>
    <t>VEOLIA WATER SOLUTIO</t>
  </si>
  <si>
    <t xml:space="preserve">nditsheni           </t>
  </si>
  <si>
    <t>TETRA PAK SOUTH AFRI</t>
  </si>
  <si>
    <t xml:space="preserve">Kevin               </t>
  </si>
  <si>
    <t xml:space="preserve">CAVALETTO 98        </t>
  </si>
  <si>
    <t xml:space="preserve">garry               </t>
  </si>
  <si>
    <t>STELLENBOSCH</t>
  </si>
  <si>
    <t xml:space="preserve">M PAUL              </t>
  </si>
  <si>
    <t>BEH</t>
  </si>
  <si>
    <t>BETHLEHEM</t>
  </si>
  <si>
    <t xml:space="preserve">BUILD IT BETLHEHEM  </t>
  </si>
  <si>
    <t xml:space="preserve">DAVID               </t>
  </si>
  <si>
    <t>MARTIN   MARTIN (PTY</t>
  </si>
  <si>
    <t xml:space="preserve">kholeka             </t>
  </si>
  <si>
    <t xml:space="preserve">PAILPAC PTY LTD     </t>
  </si>
  <si>
    <t xml:space="preserve">MSA                 </t>
  </si>
  <si>
    <t>LINDE + WIEMANN (PTY</t>
  </si>
  <si>
    <t xml:space="preserve">RIAAN               </t>
  </si>
  <si>
    <t>GRAHAMSTOWN</t>
  </si>
  <si>
    <t>GRAHAMSTOWN BRICK PT</t>
  </si>
  <si>
    <t xml:space="preserve">HANNES              </t>
  </si>
  <si>
    <t xml:space="preserve">MECHATRONICS        </t>
  </si>
  <si>
    <t xml:space="preserve"> R Steynberg        </t>
  </si>
  <si>
    <t>S4 INTEGRATION (PTY)</t>
  </si>
  <si>
    <t xml:space="preserve">Ayande              </t>
  </si>
  <si>
    <t>TIGER BRANDS CHOCOLA</t>
  </si>
  <si>
    <t xml:space="preserve">kisher              </t>
  </si>
  <si>
    <t xml:space="preserve">Carlize             </t>
  </si>
  <si>
    <t>HYGIENIC TISSUE MILL</t>
  </si>
  <si>
    <t>GEDORE TOOLS (PTY) L</t>
  </si>
  <si>
    <t>SMITHS MANUFACTURING</t>
  </si>
  <si>
    <t xml:space="preserve">siphiwe             </t>
  </si>
  <si>
    <t xml:space="preserve">PAARL PNEUMATICS CC </t>
  </si>
  <si>
    <t xml:space="preserve">randall             </t>
  </si>
  <si>
    <t xml:space="preserve">Nokuthula           </t>
  </si>
  <si>
    <t>BALFOUR (TVL)</t>
  </si>
  <si>
    <t>KARAN BEEF (PTY) LTD</t>
  </si>
  <si>
    <t xml:space="preserve">SIG                 </t>
  </si>
  <si>
    <t xml:space="preserve">donald              </t>
  </si>
  <si>
    <t xml:space="preserve">M EECH              </t>
  </si>
  <si>
    <t>EMENEM INDUSTRIAL CC</t>
  </si>
  <si>
    <t xml:space="preserve">Carel               </t>
  </si>
  <si>
    <t xml:space="preserve">silence             </t>
  </si>
  <si>
    <t xml:space="preserve">ASHLEY              </t>
  </si>
  <si>
    <t xml:space="preserve">ANTHONY             </t>
  </si>
  <si>
    <t xml:space="preserve">BMG EAST LONDON     </t>
  </si>
  <si>
    <t xml:space="preserve">eric                </t>
  </si>
  <si>
    <t xml:space="preserve">FAIRFIELD DAIRY PTY </t>
  </si>
  <si>
    <t xml:space="preserve">GRANROTH (PTY)LTD   </t>
  </si>
  <si>
    <t xml:space="preserve">ANATHI              </t>
  </si>
  <si>
    <t>NATIONAL PACKAGING S</t>
  </si>
  <si>
    <t xml:space="preserve">MOSES               </t>
  </si>
  <si>
    <t xml:space="preserve">rajan               </t>
  </si>
  <si>
    <t xml:space="preserve">ayanda              </t>
  </si>
  <si>
    <t>0017063719 G.U.D Hol</t>
  </si>
  <si>
    <t xml:space="preserve">FESTO               </t>
  </si>
  <si>
    <t>06/10/2020</t>
  </si>
  <si>
    <t xml:space="preserve">GRW ENGINERING      </t>
  </si>
  <si>
    <t xml:space="preserve">FELTEX FEHRER       </t>
  </si>
  <si>
    <t>CHEMLINK SA (PTY) LT</t>
  </si>
  <si>
    <t>COLGATE PALMOLIVE LT</t>
  </si>
  <si>
    <t>FILMATIC PACKAGING S</t>
  </si>
  <si>
    <t>GRIPPER   CO (PTY) L</t>
  </si>
  <si>
    <t>JOHN THOMSON A DIV O</t>
  </si>
  <si>
    <t>BRASCO GROUP (PTY)LT</t>
  </si>
  <si>
    <t xml:space="preserve">BEVCAN              </t>
  </si>
  <si>
    <t>POLYOAK PACKAGING PT</t>
  </si>
  <si>
    <t xml:space="preserve">KIMBERLEY-CLARK S.A </t>
  </si>
  <si>
    <t xml:space="preserve">PFERD SA PTY LTD    </t>
  </si>
  <si>
    <t>GOLDMANN ENGINEERING</t>
  </si>
  <si>
    <t xml:space="preserve">Bradley             </t>
  </si>
  <si>
    <t xml:space="preserve">THE SIMBA GROUP PTY </t>
  </si>
  <si>
    <t xml:space="preserve">IRVIN   JOHNSON LTD </t>
  </si>
  <si>
    <t xml:space="preserve">ENTYCE BEVERAGES    </t>
  </si>
  <si>
    <t>BRAKPAN</t>
  </si>
  <si>
    <t>Saint-Gobain Constru</t>
  </si>
  <si>
    <t>WEIR MINERALS AFRICA</t>
  </si>
  <si>
    <t>PAMODZI UNIQUE ENGIN</t>
  </si>
  <si>
    <t xml:space="preserve">THE SIMBA GROUP LTD </t>
  </si>
  <si>
    <t xml:space="preserve">FOSECO              </t>
  </si>
  <si>
    <t>CONTROL HYDRAULIC SY</t>
  </si>
  <si>
    <t xml:space="preserve">NATIONAL BRANDS LTD </t>
  </si>
  <si>
    <t>CENTURION</t>
  </si>
  <si>
    <t xml:space="preserve">AVENG MANUFACTURING </t>
  </si>
  <si>
    <t>STUTTERHEIM</t>
  </si>
  <si>
    <t>BOARDMAN BROS PTY LT</t>
  </si>
  <si>
    <t>KW BREAD PACKAGING S</t>
  </si>
  <si>
    <t xml:space="preserve">arnold              </t>
  </si>
  <si>
    <t>VARELEC DISTRIBUTORS</t>
  </si>
  <si>
    <t>MOSSEL BAY</t>
  </si>
  <si>
    <t>CSM BEARINGS   PNUEM</t>
  </si>
  <si>
    <t>EGLI PRECISION ENGEN</t>
  </si>
  <si>
    <t xml:space="preserve">PIONEER FOODS (PTY) </t>
  </si>
  <si>
    <t xml:space="preserve">N Mpanza            </t>
  </si>
  <si>
    <t>ANDERSON ENGINEERING</t>
  </si>
  <si>
    <t>STRAIT ACCESS TECHNO</t>
  </si>
  <si>
    <t>RHINO - PAK PACKAGIN</t>
  </si>
  <si>
    <t>DALEIN AGRI PLAN PTY</t>
  </si>
  <si>
    <t xml:space="preserve">DETNET SA           </t>
  </si>
  <si>
    <t xml:space="preserve">Reggie              </t>
  </si>
  <si>
    <t>SUPERIOR PACKAGING I</t>
  </si>
  <si>
    <t xml:space="preserve">BESTECH TRADING     </t>
  </si>
  <si>
    <t xml:space="preserve">CEMPACK             </t>
  </si>
  <si>
    <t xml:space="preserve">KELLOGGS CO OF SA   </t>
  </si>
  <si>
    <t>SECUNDA</t>
  </si>
  <si>
    <t xml:space="preserve">SASOL SYNFUELS      </t>
  </si>
  <si>
    <t>ROMATEX HOME TEXTILE</t>
  </si>
  <si>
    <t xml:space="preserve">DES GROUP (PTY)LTD  </t>
  </si>
  <si>
    <t>CB PNEUMATICS PTY LT</t>
  </si>
  <si>
    <t xml:space="preserve">BEIER ENVIROTEC     </t>
  </si>
  <si>
    <t>ESTCOURT</t>
  </si>
  <si>
    <t>WATCH TOWER BIBLE TR</t>
  </si>
  <si>
    <t xml:space="preserve">AUTO X PTY LTD      </t>
  </si>
  <si>
    <t xml:space="preserve">USS PACTECH PTY LTD </t>
  </si>
  <si>
    <t xml:space="preserve">HESTICO PTY LTD     </t>
  </si>
  <si>
    <t xml:space="preserve">BEARING   HYDRAULIC </t>
  </si>
  <si>
    <t xml:space="preserve">tebogo              </t>
  </si>
  <si>
    <t xml:space="preserve">zama                </t>
  </si>
  <si>
    <t xml:space="preserve">GLARE   E PM        </t>
  </si>
  <si>
    <t>PRO PROJECT MACHINER</t>
  </si>
  <si>
    <t>FLSMIDTH SOUTH AFRIC</t>
  </si>
  <si>
    <t>PHARMACARE LTD T A A</t>
  </si>
  <si>
    <t>TENNECO EMISSION CON</t>
  </si>
  <si>
    <t>ROODEPOORT</t>
  </si>
  <si>
    <t xml:space="preserve">A.M.D. ROTOLOK      </t>
  </si>
  <si>
    <t>ON2</t>
  </si>
  <si>
    <t>SAINT GOBAIN CONSTRU</t>
  </si>
  <si>
    <t xml:space="preserve">TIGER BRANDS SNACKS </t>
  </si>
  <si>
    <t>ANDRITZ DELKOR PTY L</t>
  </si>
  <si>
    <t>RBG</t>
  </si>
  <si>
    <t>BRITS</t>
  </si>
  <si>
    <t>BRIDGESTONE FIRESTON</t>
  </si>
  <si>
    <t>STARKE INDUSTRIES CC</t>
  </si>
  <si>
    <t>CSM BEARING   PNUEMA</t>
  </si>
  <si>
    <t>HARRISMITH</t>
  </si>
  <si>
    <t>HARDWARE MECCA (PTY)</t>
  </si>
  <si>
    <t xml:space="preserve">ILLOVO SUGAR        </t>
  </si>
  <si>
    <t>SPRINGS BEE GEE ELEC</t>
  </si>
  <si>
    <t>ACCUTECH WEIGHING SE</t>
  </si>
  <si>
    <t>HEIDELBERG (TVL)</t>
  </si>
  <si>
    <t>BRITISH AMERICAN TOB</t>
  </si>
  <si>
    <t>HUMANSDORP</t>
  </si>
  <si>
    <t>WOODLANDS RESOURCE R</t>
  </si>
  <si>
    <t xml:space="preserve">HARVARD PROJECTS    </t>
  </si>
  <si>
    <t>FRESENIUS KABI MANUF</t>
  </si>
  <si>
    <t>DELIVERED</t>
  </si>
  <si>
    <t xml:space="preserve">Benn                </t>
  </si>
  <si>
    <t>Returned to sender o</t>
  </si>
  <si>
    <t xml:space="preserve">MHLANGANISI         </t>
  </si>
  <si>
    <t xml:space="preserve">NIVESH              </t>
  </si>
  <si>
    <t xml:space="preserve">ZAKYA               </t>
  </si>
  <si>
    <t xml:space="preserve">PRAYIN              </t>
  </si>
  <si>
    <t xml:space="preserve">AMITHA              </t>
  </si>
  <si>
    <t xml:space="preserve">DAPHNEY             </t>
  </si>
  <si>
    <t xml:space="preserve">LIFA                </t>
  </si>
  <si>
    <t>07/10/2020</t>
  </si>
  <si>
    <t xml:space="preserve">s van wyk           </t>
  </si>
  <si>
    <t xml:space="preserve">Samantha            </t>
  </si>
  <si>
    <t xml:space="preserve">Carlise             </t>
  </si>
  <si>
    <t xml:space="preserve">Elizabeth           </t>
  </si>
  <si>
    <t xml:space="preserve">JOSHUA              </t>
  </si>
  <si>
    <t xml:space="preserve">LiFA                </t>
  </si>
  <si>
    <t xml:space="preserve">Gary                </t>
  </si>
  <si>
    <t xml:space="preserve">petrus              </t>
  </si>
  <si>
    <t xml:space="preserve">Kariema             </t>
  </si>
  <si>
    <t xml:space="preserve">E OLIVER            </t>
  </si>
  <si>
    <t xml:space="preserve">Natalie             </t>
  </si>
  <si>
    <t xml:space="preserve">pakkie              </t>
  </si>
  <si>
    <t xml:space="preserve">collen              </t>
  </si>
  <si>
    <t xml:space="preserve">C  Jacobsz          </t>
  </si>
  <si>
    <t xml:space="preserve">Paul                </t>
  </si>
  <si>
    <t xml:space="preserve">DOROTHY             </t>
  </si>
  <si>
    <t xml:space="preserve">mbonomthsa          </t>
  </si>
  <si>
    <t xml:space="preserve">zakhele             </t>
  </si>
  <si>
    <t xml:space="preserve">pamela              </t>
  </si>
  <si>
    <t xml:space="preserve">sachin              </t>
  </si>
  <si>
    <t xml:space="preserve">Siphokazi           </t>
  </si>
  <si>
    <t xml:space="preserve">Carelle             </t>
  </si>
  <si>
    <t xml:space="preserve">Mohammad            </t>
  </si>
  <si>
    <t xml:space="preserve">Nivesh 09 26        </t>
  </si>
  <si>
    <t xml:space="preserve">ndutshilo           </t>
  </si>
  <si>
    <t xml:space="preserve">ERNEST              </t>
  </si>
  <si>
    <t xml:space="preserve">NALEDI              </t>
  </si>
  <si>
    <t xml:space="preserve">gwen                </t>
  </si>
  <si>
    <t xml:space="preserve">jarnine             </t>
  </si>
  <si>
    <t xml:space="preserve">Phillip             </t>
  </si>
  <si>
    <t xml:space="preserve">norbert             </t>
  </si>
  <si>
    <t xml:space="preserve">Jacob               </t>
  </si>
  <si>
    <t xml:space="preserve">ouma                </t>
  </si>
  <si>
    <t xml:space="preserve">m zuma              </t>
  </si>
  <si>
    <t xml:space="preserve">ronny               </t>
  </si>
  <si>
    <t xml:space="preserve">NELSON              </t>
  </si>
  <si>
    <t xml:space="preserve">lufuno              </t>
  </si>
  <si>
    <t xml:space="preserve">peter               </t>
  </si>
  <si>
    <t xml:space="preserve">nico                </t>
  </si>
  <si>
    <t xml:space="preserve">nicole              </t>
  </si>
  <si>
    <t xml:space="preserve">NUU                 </t>
  </si>
  <si>
    <t xml:space="preserve">Santie              </t>
  </si>
  <si>
    <t xml:space="preserve">Nigel               </t>
  </si>
  <si>
    <t xml:space="preserve">virend              </t>
  </si>
  <si>
    <t xml:space="preserve">CLIVE               </t>
  </si>
  <si>
    <t xml:space="preserve">Lathiwe             </t>
  </si>
  <si>
    <t xml:space="preserve">David               </t>
  </si>
  <si>
    <t xml:space="preserve">SIGNED              </t>
  </si>
  <si>
    <t xml:space="preserve">SIGNATURE           </t>
  </si>
  <si>
    <t xml:space="preserve">christina           </t>
  </si>
  <si>
    <t xml:space="preserve">lanor               </t>
  </si>
  <si>
    <t xml:space="preserve">shale               </t>
  </si>
  <si>
    <t xml:space="preserve">ILLEG               </t>
  </si>
  <si>
    <t xml:space="preserve">sharon              </t>
  </si>
  <si>
    <t xml:space="preserve">M LOUW              </t>
  </si>
  <si>
    <t xml:space="preserve">Kaiser              </t>
  </si>
  <si>
    <t xml:space="preserve">BONGANI             </t>
  </si>
  <si>
    <t xml:space="preserve">mandisa             </t>
  </si>
  <si>
    <t xml:space="preserve">Bongani Fisa        </t>
  </si>
  <si>
    <t xml:space="preserve">Gino                </t>
  </si>
  <si>
    <t xml:space="preserve">Kelly               </t>
  </si>
  <si>
    <t xml:space="preserve">R S SARDA           </t>
  </si>
  <si>
    <t xml:space="preserve">siphewe             </t>
  </si>
  <si>
    <t xml:space="preserve">l t naiker          </t>
  </si>
  <si>
    <t xml:space="preserve">Bonga               </t>
  </si>
  <si>
    <t xml:space="preserve">Sadiache            </t>
  </si>
  <si>
    <t xml:space="preserve">we wez              </t>
  </si>
  <si>
    <t xml:space="preserve">JABU                </t>
  </si>
  <si>
    <t xml:space="preserve">michias             </t>
  </si>
  <si>
    <t xml:space="preserve">LOUISAN             </t>
  </si>
  <si>
    <t xml:space="preserve">juan                </t>
  </si>
  <si>
    <t xml:space="preserve">zakia               </t>
  </si>
  <si>
    <t xml:space="preserve">DONOVAN             </t>
  </si>
  <si>
    <t xml:space="preserve">irene               </t>
  </si>
  <si>
    <t xml:space="preserve">L James             </t>
  </si>
  <si>
    <t xml:space="preserve">LORNA               </t>
  </si>
  <si>
    <t xml:space="preserve">Amy                 </t>
  </si>
  <si>
    <t xml:space="preserve">LUCKY               </t>
  </si>
  <si>
    <t xml:space="preserve">Mike                </t>
  </si>
  <si>
    <t xml:space="preserve">kishen              </t>
  </si>
  <si>
    <t xml:space="preserve">penny               </t>
  </si>
  <si>
    <t xml:space="preserve">QUINTIN             </t>
  </si>
  <si>
    <t xml:space="preserve">SAIA                </t>
  </si>
  <si>
    <t xml:space="preserve">PETRONEL            </t>
  </si>
  <si>
    <t xml:space="preserve">EUGENE              </t>
  </si>
  <si>
    <t xml:space="preserve">sello               </t>
  </si>
  <si>
    <t xml:space="preserve">Fanie               </t>
  </si>
  <si>
    <t xml:space="preserve">sanna               </t>
  </si>
  <si>
    <t xml:space="preserve">Bongs               </t>
  </si>
  <si>
    <t xml:space="preserve">rv nzama            </t>
  </si>
  <si>
    <t xml:space="preserve">Ethaine             </t>
  </si>
  <si>
    <t xml:space="preserve">wayne               </t>
  </si>
  <si>
    <t xml:space="preserve">Merlin              </t>
  </si>
  <si>
    <t xml:space="preserve">THEISEN ENGENEERING </t>
  </si>
  <si>
    <t>STAN S CRANE HIRE (P</t>
  </si>
  <si>
    <t>GUD HOLDINGS (PTY)LT</t>
  </si>
  <si>
    <t>DALE TECHNICAL SERVI</t>
  </si>
  <si>
    <t>STROM PROPERTIES TWO</t>
  </si>
  <si>
    <t xml:space="preserve">QUALITECHS          </t>
  </si>
  <si>
    <t>ADCOCK INGRAM CRITIC</t>
  </si>
  <si>
    <t xml:space="preserve">Victor              </t>
  </si>
  <si>
    <t>BRONKHORSTSPRUIT</t>
  </si>
  <si>
    <t xml:space="preserve">MARLEY SA PTY LTD   </t>
  </si>
  <si>
    <t xml:space="preserve">S.A. MINT           </t>
  </si>
  <si>
    <t xml:space="preserve">CSM ENGINEERING CC  </t>
  </si>
  <si>
    <t xml:space="preserve">RGC ENGINEERING     </t>
  </si>
  <si>
    <t>RCB</t>
  </si>
  <si>
    <t>RICHARDS BAY</t>
  </si>
  <si>
    <t>MACSTEEL FLUID CONTR</t>
  </si>
  <si>
    <t>CATER CHAIN FOOD SER</t>
  </si>
  <si>
    <t xml:space="preserve">NOVUS PRINT PTY LTD </t>
  </si>
  <si>
    <t>ROBOTIC HANDLING SYS</t>
  </si>
  <si>
    <t>BOWLER PLASTICS (PTY</t>
  </si>
  <si>
    <t>VREDENBURG</t>
  </si>
  <si>
    <t>BEARINGS DISTRIBUTOR</t>
  </si>
  <si>
    <t xml:space="preserve">MERCEDES BENZ SOUTH </t>
  </si>
  <si>
    <t>SEALED AIR AFRICA (P</t>
  </si>
  <si>
    <t>JOHN BEAN TECHNOLOGI</t>
  </si>
  <si>
    <t>FEDERAL MOGUL ENGINE</t>
  </si>
  <si>
    <t>RCL FOODS CONSUMER (</t>
  </si>
  <si>
    <t>FORD MOTOR CO. SA MA</t>
  </si>
  <si>
    <t>RESCUE TECHNOLOGY CC</t>
  </si>
  <si>
    <t xml:space="preserve">HOME ADDRESS        </t>
  </si>
  <si>
    <t xml:space="preserve">INDUSTRIAL CONSUMER </t>
  </si>
  <si>
    <t xml:space="preserve">ROBOTIC INNOVATIONS </t>
  </si>
  <si>
    <t>VERTEX AUTOMATION PT</t>
  </si>
  <si>
    <t>ABERDARE CABLES (PTY</t>
  </si>
  <si>
    <t>RCL FOODS SUGAR   MI</t>
  </si>
  <si>
    <t xml:space="preserve">VANNPAX PTYLTD      </t>
  </si>
  <si>
    <t xml:space="preserve">Thando              </t>
  </si>
  <si>
    <t>PATERSON HUGHES ENGI</t>
  </si>
  <si>
    <t>IDM LAB AND ENGINEER</t>
  </si>
  <si>
    <t>SCHULLPAK GAUTENG (P</t>
  </si>
  <si>
    <t>MAIN STREET 1310(PTY</t>
  </si>
  <si>
    <t xml:space="preserve">ALDOR AFRICA        </t>
  </si>
  <si>
    <t>FORD OF SOUTHERN AFR</t>
  </si>
  <si>
    <t xml:space="preserve">GRAVETT ENGINEERING </t>
  </si>
  <si>
    <t>UMTATA</t>
  </si>
  <si>
    <t>PREMIER FMCG PTY LTD</t>
  </si>
  <si>
    <t>ANALOG   DIGITAL POW</t>
  </si>
  <si>
    <t xml:space="preserve">ACK SOLUTIONS (PTY) </t>
  </si>
  <si>
    <t>TOPLINE TOOLING (PTY</t>
  </si>
  <si>
    <t xml:space="preserve">PLASTIC OMNIUM AUTO </t>
  </si>
  <si>
    <t xml:space="preserve">GUALA CLOSURES S.A  </t>
  </si>
  <si>
    <t xml:space="preserve">AMS BEARING CC      </t>
  </si>
  <si>
    <t>GENERAL PNEUMATICS N</t>
  </si>
  <si>
    <t>PTG</t>
  </si>
  <si>
    <t>TZANEEN</t>
  </si>
  <si>
    <t>MERENSKY THIMBER (PT</t>
  </si>
  <si>
    <t>BARNES REINFORCING I</t>
  </si>
  <si>
    <t xml:space="preserve">MEASUREMENT CONTROL </t>
  </si>
  <si>
    <t>WINTERTIDE TRADING 6</t>
  </si>
  <si>
    <t>ERA STENE   ROSEMA B</t>
  </si>
  <si>
    <t>TIGER CONSUMER BRAND</t>
  </si>
  <si>
    <t xml:space="preserve">JOHNSON MATTHEY PTY </t>
  </si>
  <si>
    <t xml:space="preserve">COIN DE MIRE        </t>
  </si>
  <si>
    <t>PIONEER FOODS GROCER</t>
  </si>
  <si>
    <t>FLOWSERVE SA PTY LTD</t>
  </si>
  <si>
    <t>DEVCAN A DIVISION OF</t>
  </si>
  <si>
    <t xml:space="preserve">MEGA-PAK            </t>
  </si>
  <si>
    <t xml:space="preserve">EVEREADY (PTY) LTD  </t>
  </si>
  <si>
    <t xml:space="preserve">Chris               </t>
  </si>
  <si>
    <t xml:space="preserve">eloise              </t>
  </si>
  <si>
    <t xml:space="preserve">ANATHI PONI         </t>
  </si>
  <si>
    <t>RUSTENBURG</t>
  </si>
  <si>
    <t xml:space="preserve">Khaya               </t>
  </si>
  <si>
    <t xml:space="preserve">Tracey              </t>
  </si>
  <si>
    <t xml:space="preserve">thobejane           </t>
  </si>
  <si>
    <t xml:space="preserve">sam williams        </t>
  </si>
  <si>
    <t xml:space="preserve">FUSI                </t>
  </si>
  <si>
    <t xml:space="preserve">Connie              </t>
  </si>
  <si>
    <t xml:space="preserve">noma                </t>
  </si>
  <si>
    <t xml:space="preserve">simon               </t>
  </si>
  <si>
    <t xml:space="preserve">philile             </t>
  </si>
  <si>
    <t xml:space="preserve">joel                </t>
  </si>
  <si>
    <t xml:space="preserve">clifford            </t>
  </si>
  <si>
    <t xml:space="preserve">precious            </t>
  </si>
  <si>
    <t xml:space="preserve">Patrick             </t>
  </si>
  <si>
    <t xml:space="preserve">R BRIEGERS          </t>
  </si>
  <si>
    <t xml:space="preserve">Debbie              </t>
  </si>
  <si>
    <t xml:space="preserve">Priscilla           </t>
  </si>
  <si>
    <t xml:space="preserve">R Strydom           </t>
  </si>
  <si>
    <t xml:space="preserve">Wes wez             </t>
  </si>
  <si>
    <t xml:space="preserve">Caren               </t>
  </si>
  <si>
    <t xml:space="preserve">Wendell             </t>
  </si>
  <si>
    <t xml:space="preserve">Nkirlo              </t>
  </si>
  <si>
    <t xml:space="preserve">mcedisi             </t>
  </si>
  <si>
    <t>08/10/2020</t>
  </si>
  <si>
    <t xml:space="preserve">BENNIE              </t>
  </si>
  <si>
    <t xml:space="preserve">SISANDA             </t>
  </si>
  <si>
    <t xml:space="preserve">duvloot             </t>
  </si>
  <si>
    <t xml:space="preserve">jacques             </t>
  </si>
  <si>
    <t xml:space="preserve">Randall             </t>
  </si>
  <si>
    <t xml:space="preserve">Margaret            </t>
  </si>
  <si>
    <t xml:space="preserve">Qondi               </t>
  </si>
  <si>
    <t xml:space="preserve">luke                </t>
  </si>
  <si>
    <t xml:space="preserve">Stamp               </t>
  </si>
  <si>
    <t xml:space="preserve">Cheaza              </t>
  </si>
  <si>
    <t xml:space="preserve">G DU TOIT           </t>
  </si>
  <si>
    <t xml:space="preserve">Isaac               </t>
  </si>
  <si>
    <t xml:space="preserve">Hans                </t>
  </si>
  <si>
    <t xml:space="preserve">justice             </t>
  </si>
  <si>
    <t xml:space="preserve">snethemba           </t>
  </si>
  <si>
    <t xml:space="preserve">G LUNDALL           </t>
  </si>
  <si>
    <t xml:space="preserve">kimm                </t>
  </si>
  <si>
    <t xml:space="preserve">buyile              </t>
  </si>
  <si>
    <t xml:space="preserve">Ruwwardt            </t>
  </si>
  <si>
    <t xml:space="preserve">GOODMAN             </t>
  </si>
  <si>
    <t xml:space="preserve">AYANDA              </t>
  </si>
  <si>
    <t xml:space="preserve">ruan                </t>
  </si>
  <si>
    <t xml:space="preserve">Clive               </t>
  </si>
  <si>
    <t xml:space="preserve">Karla               </t>
  </si>
  <si>
    <t xml:space="preserve">Maxwell             </t>
  </si>
  <si>
    <t xml:space="preserve">shaleen             </t>
  </si>
  <si>
    <t xml:space="preserve">Victoria            </t>
  </si>
  <si>
    <t xml:space="preserve">Etienne             </t>
  </si>
  <si>
    <t xml:space="preserve">MPUMZO              </t>
  </si>
  <si>
    <t xml:space="preserve">amona               </t>
  </si>
  <si>
    <t xml:space="preserve">NDUMISO             </t>
  </si>
  <si>
    <t xml:space="preserve">stanton             </t>
  </si>
  <si>
    <t xml:space="preserve">stima               </t>
  </si>
  <si>
    <t xml:space="preserve">elias               </t>
  </si>
  <si>
    <t xml:space="preserve">phillimon           </t>
  </si>
  <si>
    <t xml:space="preserve">J DU TOIT           </t>
  </si>
  <si>
    <t xml:space="preserve">amy                 </t>
  </si>
  <si>
    <t xml:space="preserve">kabelo              </t>
  </si>
  <si>
    <t xml:space="preserve">A Duncan            </t>
  </si>
  <si>
    <t xml:space="preserve">may                 </t>
  </si>
  <si>
    <t xml:space="preserve">Andrie              </t>
  </si>
  <si>
    <t xml:space="preserve">iren                </t>
  </si>
  <si>
    <t xml:space="preserve">yolandi             </t>
  </si>
  <si>
    <t xml:space="preserve">elmien              </t>
  </si>
  <si>
    <t xml:space="preserve">mathe               </t>
  </si>
  <si>
    <t xml:space="preserve">kevin               </t>
  </si>
  <si>
    <t xml:space="preserve">A KOSTER            </t>
  </si>
  <si>
    <t xml:space="preserve">japie               </t>
  </si>
  <si>
    <t xml:space="preserve">Zodidi              </t>
  </si>
  <si>
    <t xml:space="preserve">Musa                </t>
  </si>
  <si>
    <t xml:space="preserve">nu                  </t>
  </si>
  <si>
    <t xml:space="preserve">magaretha           </t>
  </si>
  <si>
    <t xml:space="preserve">mzwandile           </t>
  </si>
  <si>
    <t xml:space="preserve">Lawrence            </t>
  </si>
  <si>
    <t xml:space="preserve">Movamethi           </t>
  </si>
  <si>
    <t xml:space="preserve">kassie              </t>
  </si>
  <si>
    <t xml:space="preserve">FESTO ISANDO        </t>
  </si>
  <si>
    <t xml:space="preserve">FESTO PE            </t>
  </si>
  <si>
    <t>SP AUTOMOTIVE PROFIL</t>
  </si>
  <si>
    <t xml:space="preserve">hopewell            </t>
  </si>
  <si>
    <t>ALBANY BAKERIES A DI</t>
  </si>
  <si>
    <t xml:space="preserve">NAMPAK CLOSURES     </t>
  </si>
  <si>
    <t>UNIQUE HYDRA (PTY)LT</t>
  </si>
  <si>
    <t>ACEPAK PACKAGING SYS</t>
  </si>
  <si>
    <t xml:space="preserve">A C PNEUMATICS      </t>
  </si>
  <si>
    <t>DCD PROTECTED MOBILI</t>
  </si>
  <si>
    <t xml:space="preserve">ZETES (PTY)LTD      </t>
  </si>
  <si>
    <t xml:space="preserve">ALBANY BAKERIES     </t>
  </si>
  <si>
    <t xml:space="preserve">CLOVER SA (PTY)LTD  </t>
  </si>
  <si>
    <t xml:space="preserve">UNIVERSAL CLIPS     </t>
  </si>
  <si>
    <t xml:space="preserve">APPLE CONTROLS CC T </t>
  </si>
  <si>
    <t xml:space="preserve">BENTELER SA         </t>
  </si>
  <si>
    <t>IMD LAB AND ENG SERV</t>
  </si>
  <si>
    <t>SIGNAL INSTRUMENTAIO</t>
  </si>
  <si>
    <t xml:space="preserve">Jaco                </t>
  </si>
  <si>
    <t>TECHMATIC ENGINEERIN</t>
  </si>
  <si>
    <t xml:space="preserve">SEALAKE INDUSTRIES  </t>
  </si>
  <si>
    <t xml:space="preserve">AUTOLIV SA          </t>
  </si>
  <si>
    <t xml:space="preserve">William             </t>
  </si>
  <si>
    <t>REPMA ENGINEERING PT</t>
  </si>
  <si>
    <t>FOODCORP PTY LTD MIL</t>
  </si>
  <si>
    <t xml:space="preserve">CROWN CHICKENS      </t>
  </si>
  <si>
    <t xml:space="preserve">GEMU VALUES AFRICA  </t>
  </si>
  <si>
    <t>P. WILSON ELECTRICAL</t>
  </si>
  <si>
    <t>SELAGO INDUSTRIES (P</t>
  </si>
  <si>
    <t>ROV DURRANT ENGINEER</t>
  </si>
  <si>
    <t xml:space="preserve">FUSE - A - TRON CC  </t>
  </si>
  <si>
    <t xml:space="preserve">UNIVERSAL AUTOMATED </t>
  </si>
  <si>
    <t>CIRCUIT BREAKER INDU</t>
  </si>
  <si>
    <t>SANOFI INDUSTRIES SA</t>
  </si>
  <si>
    <t>HALEWOOD INTERNATION</t>
  </si>
  <si>
    <t>CALEDON</t>
  </si>
  <si>
    <t xml:space="preserve">BANDAG SOUHT AFRICA </t>
  </si>
  <si>
    <t xml:space="preserve">TECHNIMAC (PTY)LTD  </t>
  </si>
  <si>
    <t xml:space="preserve">CAPE GATE           </t>
  </si>
  <si>
    <t>CARLETONVILLE</t>
  </si>
  <si>
    <t>CNL INDUSTRIAL MININ</t>
  </si>
  <si>
    <t xml:space="preserve">TIGER BRANDS        </t>
  </si>
  <si>
    <t xml:space="preserve">CHEMLINK            </t>
  </si>
  <si>
    <t>CLIENT REQUEST DELIVERY AFTER 12:30 HE WILL BE IN TRAINING FROM 08:3</t>
  </si>
  <si>
    <t>3RD PARTY DEL</t>
  </si>
  <si>
    <t>VUKILE</t>
  </si>
  <si>
    <t>andria</t>
  </si>
  <si>
    <t>09/10/2020</t>
  </si>
  <si>
    <t xml:space="preserve">CHAD                </t>
  </si>
  <si>
    <t xml:space="preserve">elmarie rossouw     </t>
  </si>
  <si>
    <t xml:space="preserve">suoi                </t>
  </si>
  <si>
    <t xml:space="preserve">VUKILE              </t>
  </si>
  <si>
    <t xml:space="preserve">JANINE              </t>
  </si>
  <si>
    <t xml:space="preserve">Gerald              </t>
  </si>
  <si>
    <t xml:space="preserve">pias                </t>
  </si>
  <si>
    <t xml:space="preserve">elmar               </t>
  </si>
  <si>
    <t xml:space="preserve">Johan               </t>
  </si>
  <si>
    <t xml:space="preserve">sherandy            </t>
  </si>
  <si>
    <t xml:space="preserve">andria              </t>
  </si>
  <si>
    <t xml:space="preserve">kyle                </t>
  </si>
  <si>
    <t xml:space="preserve">nathan              </t>
  </si>
  <si>
    <t xml:space="preserve">Nu Mthembu          </t>
  </si>
  <si>
    <t xml:space="preserve">Lun                 </t>
  </si>
  <si>
    <t xml:space="preserve">natal               </t>
  </si>
  <si>
    <t xml:space="preserve">Cecelia             </t>
  </si>
  <si>
    <t xml:space="preserve">Denver              </t>
  </si>
  <si>
    <t xml:space="preserve">rene                </t>
  </si>
  <si>
    <t xml:space="preserve">A PONI              </t>
  </si>
  <si>
    <t xml:space="preserve">khanyano            </t>
  </si>
  <si>
    <t xml:space="preserve">Gideon              </t>
  </si>
  <si>
    <t xml:space="preserve">NOMBULELO           </t>
  </si>
  <si>
    <t xml:space="preserve">V posthumous        </t>
  </si>
  <si>
    <t xml:space="preserve">Thulani             </t>
  </si>
  <si>
    <t xml:space="preserve">jafta               </t>
  </si>
  <si>
    <t xml:space="preserve">oupa                </t>
  </si>
  <si>
    <t xml:space="preserve">DavDave             </t>
  </si>
  <si>
    <t xml:space="preserve">Henning             </t>
  </si>
  <si>
    <t xml:space="preserve">Constance           </t>
  </si>
  <si>
    <t xml:space="preserve">mehluli             </t>
  </si>
  <si>
    <t xml:space="preserve">M Pamla             </t>
  </si>
  <si>
    <t xml:space="preserve">LORINDA             </t>
  </si>
  <si>
    <t xml:space="preserve">Richard             </t>
  </si>
  <si>
    <t xml:space="preserve">jenell              </t>
  </si>
  <si>
    <t xml:space="preserve">micaela             </t>
  </si>
  <si>
    <t xml:space="preserve">MOLOTO              </t>
  </si>
  <si>
    <t xml:space="preserve">engela              </t>
  </si>
  <si>
    <t xml:space="preserve">j marmato           </t>
  </si>
  <si>
    <t xml:space="preserve">luve                </t>
  </si>
  <si>
    <t xml:space="preserve">Cosntance           </t>
  </si>
  <si>
    <t xml:space="preserve">Innocent            </t>
  </si>
  <si>
    <t xml:space="preserve">paul                </t>
  </si>
  <si>
    <t xml:space="preserve">mbu                 </t>
  </si>
  <si>
    <t xml:space="preserve">JACQUES             </t>
  </si>
  <si>
    <t xml:space="preserve">kutlwano            </t>
  </si>
  <si>
    <t xml:space="preserve">ERROL               </t>
  </si>
  <si>
    <t xml:space="preserve">Mannie              </t>
  </si>
  <si>
    <t xml:space="preserve">grant               </t>
  </si>
  <si>
    <t xml:space="preserve">tasneem             </t>
  </si>
  <si>
    <t xml:space="preserve">nomvula             </t>
  </si>
  <si>
    <t xml:space="preserve">RESPECT             </t>
  </si>
  <si>
    <t xml:space="preserve">Shawn               </t>
  </si>
  <si>
    <t xml:space="preserve">palesa              </t>
  </si>
  <si>
    <t xml:space="preserve">Anna                </t>
  </si>
  <si>
    <t xml:space="preserve">Shyla               </t>
  </si>
  <si>
    <t xml:space="preserve">D J                 </t>
  </si>
  <si>
    <t xml:space="preserve">gerry               </t>
  </si>
  <si>
    <t xml:space="preserve">theo                </t>
  </si>
  <si>
    <t xml:space="preserve">Yvonne              </t>
  </si>
  <si>
    <t xml:space="preserve">Mduduzi             </t>
  </si>
  <si>
    <t xml:space="preserve">DU PLESSIS          </t>
  </si>
  <si>
    <t xml:space="preserve">Reguan              </t>
  </si>
  <si>
    <t>R.A. DISTRIBUTORS CC</t>
  </si>
  <si>
    <t>Mavtech Technologies</t>
  </si>
  <si>
    <t>HACKMACK ENTERPRISES</t>
  </si>
  <si>
    <t>SHATTERPRUFE TRADING</t>
  </si>
  <si>
    <t xml:space="preserve">Norman              </t>
  </si>
  <si>
    <t xml:space="preserve">HENDLER   HART      </t>
  </si>
  <si>
    <t xml:space="preserve">HYDRAQUIP           </t>
  </si>
  <si>
    <t>SANDTON</t>
  </si>
  <si>
    <t xml:space="preserve">TVV ELECTRONIC      </t>
  </si>
  <si>
    <t>AVOCAN ENTERPRISES (</t>
  </si>
  <si>
    <t xml:space="preserve">PERFECTION TOOL AND </t>
  </si>
  <si>
    <t>DR OETKER SOUTH AFRI</t>
  </si>
  <si>
    <t xml:space="preserve">DEMATECH            </t>
  </si>
  <si>
    <t xml:space="preserve">KSNACKS             </t>
  </si>
  <si>
    <t xml:space="preserve">COCA COLA BEVERAGES </t>
  </si>
  <si>
    <t xml:space="preserve">thula               </t>
  </si>
  <si>
    <t>UNIVERSAL PAPER MANU</t>
  </si>
  <si>
    <t>BEARING MAN GOUP (PT</t>
  </si>
  <si>
    <t xml:space="preserve">DICKON HALL FOODS   </t>
  </si>
  <si>
    <t>DEVCOTECH ELECTRICAL</t>
  </si>
  <si>
    <t xml:space="preserve">TETRA PAK S.A (PTY) </t>
  </si>
  <si>
    <t>FAMOUS BRANDS MANAGE</t>
  </si>
  <si>
    <t>UNILEVER ANDERBOLT H</t>
  </si>
  <si>
    <t>FLS TECHNICAL SERVIC</t>
  </si>
  <si>
    <t>SAR ELECTRONIC SA PT</t>
  </si>
  <si>
    <t>NATIONAL BRANDS LIMI</t>
  </si>
  <si>
    <t>FAURECIA EXHAUST SYS</t>
  </si>
  <si>
    <t>UNIVERSITY OF STELLE</t>
  </si>
  <si>
    <t>MA CONSUME   MAITENA</t>
  </si>
  <si>
    <t>THYSSENKRUPP INDUSTR</t>
  </si>
  <si>
    <t>TFM INDUSTRIES PTY L</t>
  </si>
  <si>
    <t>STANDERTON</t>
  </si>
  <si>
    <t>PRESSURE DIE CASTING</t>
  </si>
  <si>
    <t>RICH PRODUCTS CORP O</t>
  </si>
  <si>
    <t xml:space="preserve">ALL PRONIX          </t>
  </si>
  <si>
    <t>COCA -COLA BEVERAGES</t>
  </si>
  <si>
    <t>C   M HYDRAULIC SERV</t>
  </si>
  <si>
    <t>SIQALO FOODS (PTY)LT</t>
  </si>
  <si>
    <t>MICROMATH TRADING 16</t>
  </si>
  <si>
    <t xml:space="preserve">Rafael              </t>
  </si>
  <si>
    <t xml:space="preserve">DANONE SA PTY LTD   </t>
  </si>
  <si>
    <t xml:space="preserve">DURR SOUTH AFRICA   </t>
  </si>
  <si>
    <t>SCOTT BRAD ENGINEERI</t>
  </si>
  <si>
    <t xml:space="preserve">NESTLE SA           </t>
  </si>
  <si>
    <t xml:space="preserve">BRANDLINE PACKAGING </t>
  </si>
  <si>
    <t>CONSUMER A DIV OF TI</t>
  </si>
  <si>
    <t>LACTALIS SOUTH AFRIC</t>
  </si>
  <si>
    <t>PBA EQUIPMENT PTY LT</t>
  </si>
  <si>
    <t>UNIVERSAL AUTOMATION</t>
  </si>
  <si>
    <t>NAMPAK LIQUID PACKAG</t>
  </si>
  <si>
    <t>NDUMISO</t>
  </si>
  <si>
    <t>alicia</t>
  </si>
  <si>
    <t>F KRUGER</t>
  </si>
  <si>
    <t xml:space="preserve">George              </t>
  </si>
  <si>
    <t xml:space="preserve">NKOSA               </t>
  </si>
  <si>
    <t xml:space="preserve">CEDRIC              </t>
  </si>
  <si>
    <t xml:space="preserve">MAZIMBA             </t>
  </si>
  <si>
    <t xml:space="preserve">NIREN               </t>
  </si>
  <si>
    <t xml:space="preserve">CAMERA              </t>
  </si>
  <si>
    <t xml:space="preserve">JUSTICE             </t>
  </si>
  <si>
    <t xml:space="preserve">masibhlde           </t>
  </si>
  <si>
    <t xml:space="preserve">liezel              </t>
  </si>
  <si>
    <t xml:space="preserve">CAMERON             </t>
  </si>
  <si>
    <t xml:space="preserve">nelson              </t>
  </si>
  <si>
    <t xml:space="preserve">ELRICH              </t>
  </si>
  <si>
    <t xml:space="preserve">DONAVAN             </t>
  </si>
  <si>
    <t xml:space="preserve">ROSHNI              </t>
  </si>
  <si>
    <t xml:space="preserve">Gift                </t>
  </si>
  <si>
    <t xml:space="preserve">Eugene              </t>
  </si>
  <si>
    <t xml:space="preserve">Craig               </t>
  </si>
  <si>
    <t xml:space="preserve">DYONGO              </t>
  </si>
  <si>
    <t xml:space="preserve">Alviro              </t>
  </si>
  <si>
    <t xml:space="preserve">Ayzende             </t>
  </si>
  <si>
    <t xml:space="preserve">Ayenda              </t>
  </si>
  <si>
    <t xml:space="preserve">julius              </t>
  </si>
  <si>
    <t xml:space="preserve">James               </t>
  </si>
  <si>
    <t xml:space="preserve">TUMELO              </t>
  </si>
  <si>
    <t xml:space="preserve">WALKER              </t>
  </si>
  <si>
    <t xml:space="preserve">lungile             </t>
  </si>
  <si>
    <t xml:space="preserve">alina               </t>
  </si>
  <si>
    <t xml:space="preserve">xolani              </t>
  </si>
  <si>
    <t xml:space="preserve">patience            </t>
  </si>
  <si>
    <t xml:space="preserve">andrea              </t>
  </si>
  <si>
    <t xml:space="preserve">a daniels           </t>
  </si>
  <si>
    <t xml:space="preserve">lauren              </t>
  </si>
  <si>
    <t xml:space="preserve">LELANE              </t>
  </si>
  <si>
    <t xml:space="preserve">goodman             </t>
  </si>
  <si>
    <t xml:space="preserve">Mathews             </t>
  </si>
  <si>
    <t xml:space="preserve">thabiso             </t>
  </si>
  <si>
    <t xml:space="preserve">lizzy               </t>
  </si>
  <si>
    <t xml:space="preserve">Eunice              </t>
  </si>
  <si>
    <t xml:space="preserve">qondi               </t>
  </si>
  <si>
    <t xml:space="preserve">Kara                </t>
  </si>
  <si>
    <t xml:space="preserve">sherilene           </t>
  </si>
  <si>
    <t xml:space="preserve">r camp              </t>
  </si>
  <si>
    <t xml:space="preserve">Zola                </t>
  </si>
  <si>
    <t xml:space="preserve">mazibuko            </t>
  </si>
  <si>
    <t xml:space="preserve">Nonvuyo             </t>
  </si>
  <si>
    <t xml:space="preserve">norman              </t>
  </si>
  <si>
    <t xml:space="preserve">Herman              </t>
  </si>
  <si>
    <t xml:space="preserve">Stephan             </t>
  </si>
  <si>
    <t xml:space="preserve">norma               </t>
  </si>
  <si>
    <t xml:space="preserve">mlungisi            </t>
  </si>
  <si>
    <t xml:space="preserve">Samson              </t>
  </si>
  <si>
    <t xml:space="preserve">Eric                </t>
  </si>
  <si>
    <t xml:space="preserve">Chantelle           </t>
  </si>
  <si>
    <t xml:space="preserve">chantel             </t>
  </si>
  <si>
    <t xml:space="preserve">melvin              </t>
  </si>
  <si>
    <t xml:space="preserve">jr khotso           </t>
  </si>
  <si>
    <t xml:space="preserve">RAMA                </t>
  </si>
  <si>
    <t xml:space="preserve">Pongani             </t>
  </si>
  <si>
    <t xml:space="preserve">A Bazier            </t>
  </si>
  <si>
    <t xml:space="preserve">fiona               </t>
  </si>
  <si>
    <t xml:space="preserve">SHAAKIR             </t>
  </si>
  <si>
    <t xml:space="preserve">masibulde           </t>
  </si>
  <si>
    <t xml:space="preserve">Monice              </t>
  </si>
  <si>
    <t xml:space="preserve">Raj                 </t>
  </si>
  <si>
    <t xml:space="preserve">martin              </t>
  </si>
  <si>
    <t xml:space="preserve">jackie              </t>
  </si>
  <si>
    <t xml:space="preserve">SIPHO M             </t>
  </si>
  <si>
    <t xml:space="preserve">andile              </t>
  </si>
  <si>
    <t xml:space="preserve">fanie               </t>
  </si>
  <si>
    <t xml:space="preserve">Francina            </t>
  </si>
  <si>
    <t xml:space="preserve">andre               </t>
  </si>
  <si>
    <t xml:space="preserve">khotso              </t>
  </si>
  <si>
    <t xml:space="preserve">Justin              </t>
  </si>
  <si>
    <t xml:space="preserve">Leo                 </t>
  </si>
  <si>
    <t xml:space="preserve">kenn                </t>
  </si>
  <si>
    <t xml:space="preserve">thomson             </t>
  </si>
  <si>
    <t xml:space="preserve">R Stevberg          </t>
  </si>
  <si>
    <t xml:space="preserve">sbongjseni          </t>
  </si>
  <si>
    <t xml:space="preserve">d douglas           </t>
  </si>
  <si>
    <t xml:space="preserve">FRANS               </t>
  </si>
  <si>
    <t xml:space="preserve">Carl                </t>
  </si>
  <si>
    <t xml:space="preserve">Ryan                </t>
  </si>
  <si>
    <t xml:space="preserve">BUSISIWE            </t>
  </si>
  <si>
    <t xml:space="preserve">THOBILE             </t>
  </si>
  <si>
    <t xml:space="preserve">alida               </t>
  </si>
  <si>
    <t xml:space="preserve">JOHANA              </t>
  </si>
  <si>
    <t xml:space="preserve">xouh                </t>
  </si>
  <si>
    <t xml:space="preserve">Portia              </t>
  </si>
  <si>
    <t xml:space="preserve">Ivan                </t>
  </si>
  <si>
    <t>12/10/2020</t>
  </si>
  <si>
    <t xml:space="preserve">isak                </t>
  </si>
  <si>
    <t xml:space="preserve">Darryl              </t>
  </si>
  <si>
    <t xml:space="preserve">mxolisi             </t>
  </si>
  <si>
    <t xml:space="preserve">Mary Ann            </t>
  </si>
  <si>
    <t xml:space="preserve">Sandy               </t>
  </si>
  <si>
    <t xml:space="preserve">NATIONAL BRAND      </t>
  </si>
  <si>
    <t>SIBANYE GOLD ACADEMY</t>
  </si>
  <si>
    <t>FEDERAL MOGUL FRICTI</t>
  </si>
  <si>
    <t>T A RUBICON PLC AUTO</t>
  </si>
  <si>
    <t>K.R INDUSTRIAL   AUT</t>
  </si>
  <si>
    <t xml:space="preserve">DADO MANUFACTURING  </t>
  </si>
  <si>
    <t xml:space="preserve">CONRO PRECISION     </t>
  </si>
  <si>
    <t xml:space="preserve">BMW ROSSLYN         </t>
  </si>
  <si>
    <t>SDX</t>
  </si>
  <si>
    <t xml:space="preserve">WINTERTRADE TRADING </t>
  </si>
  <si>
    <t>UMBOGINTWINI</t>
  </si>
  <si>
    <t>TOYOTA BOSHOKU SA PT</t>
  </si>
  <si>
    <t xml:space="preserve">KLINGER NTC PTY LTD </t>
  </si>
  <si>
    <t xml:space="preserve">COROBRIK RIETVLEI   </t>
  </si>
  <si>
    <t>FERRERO SOUTH AFRICA</t>
  </si>
  <si>
    <t xml:space="preserve">HULAMIN OPERATIONTS </t>
  </si>
  <si>
    <t xml:space="preserve">GRINDING TECHNICS   </t>
  </si>
  <si>
    <t xml:space="preserve">PARKRAND STAINLESS  </t>
  </si>
  <si>
    <t>TSITSIKAMMA</t>
  </si>
  <si>
    <t xml:space="preserve">TSITSIKAMMA CRYSTAL </t>
  </si>
  <si>
    <t>KLD</t>
  </si>
  <si>
    <t>PARYS</t>
  </si>
  <si>
    <t>STAYCOLD INTERNATION</t>
  </si>
  <si>
    <t xml:space="preserve">GUTH NDE SA         </t>
  </si>
  <si>
    <t xml:space="preserve">NUKOR (PTY)LTD      </t>
  </si>
  <si>
    <t xml:space="preserve">LION MATCH PRODUCTS </t>
  </si>
  <si>
    <t xml:space="preserve">S4 INTEGRATION      </t>
  </si>
  <si>
    <t xml:space="preserve">TAFFY TRANSPORT     </t>
  </si>
  <si>
    <t>NON FERROUS METAL WO</t>
  </si>
  <si>
    <t>N   Z INSTRUMENTATIO</t>
  </si>
  <si>
    <t>TONGAAT HULLET STARC</t>
  </si>
  <si>
    <t xml:space="preserve">FESTSO              </t>
  </si>
  <si>
    <t xml:space="preserve">Nestle SA           </t>
  </si>
  <si>
    <t>NIC</t>
  </si>
  <si>
    <t xml:space="preserve">DANRE               </t>
  </si>
  <si>
    <t xml:space="preserve">EUGENIA             </t>
  </si>
  <si>
    <t xml:space="preserve">C VAN NIEKERK       </t>
  </si>
  <si>
    <t xml:space="preserve">Nwabisa             </t>
  </si>
  <si>
    <t xml:space="preserve">harry               </t>
  </si>
  <si>
    <t xml:space="preserve">ESTHER              </t>
  </si>
  <si>
    <t>10/10/2020</t>
  </si>
  <si>
    <t xml:space="preserve">helen               </t>
  </si>
  <si>
    <t xml:space="preserve">onele               </t>
  </si>
  <si>
    <t xml:space="preserve">daphney             </t>
  </si>
  <si>
    <t xml:space="preserve">Margret             </t>
  </si>
  <si>
    <t xml:space="preserve">POOBLAL             </t>
  </si>
  <si>
    <t xml:space="preserve">R Briger            </t>
  </si>
  <si>
    <t xml:space="preserve">ceert               </t>
  </si>
  <si>
    <t xml:space="preserve">dancan              </t>
  </si>
  <si>
    <t xml:space="preserve">Jacobsz             </t>
  </si>
  <si>
    <t xml:space="preserve">Shybo               </t>
  </si>
  <si>
    <t xml:space="preserve">LETHABO             </t>
  </si>
  <si>
    <t xml:space="preserve">shakir              </t>
  </si>
  <si>
    <t xml:space="preserve">lewelyn             </t>
  </si>
  <si>
    <t xml:space="preserve">kiren               </t>
  </si>
  <si>
    <t xml:space="preserve">christella          </t>
  </si>
  <si>
    <t xml:space="preserve">a steyn             </t>
  </si>
  <si>
    <t xml:space="preserve">W FILIES            </t>
  </si>
  <si>
    <t xml:space="preserve">nandipha            </t>
  </si>
  <si>
    <t xml:space="preserve">nhlanhla            </t>
  </si>
  <si>
    <t xml:space="preserve">Johannes            </t>
  </si>
  <si>
    <t xml:space="preserve">noel                </t>
  </si>
  <si>
    <t xml:space="preserve">duncan              </t>
  </si>
  <si>
    <t xml:space="preserve">JOHN 09 10 2020     </t>
  </si>
  <si>
    <t xml:space="preserve">M Naidoo            </t>
  </si>
  <si>
    <t xml:space="preserve">Nonenhoke           </t>
  </si>
  <si>
    <t xml:space="preserve">chirato matsumura   </t>
  </si>
  <si>
    <t xml:space="preserve">Anthea              </t>
  </si>
  <si>
    <t xml:space="preserve">R Brigers           </t>
  </si>
  <si>
    <t xml:space="preserve">kingsley            </t>
  </si>
  <si>
    <t>13/10/2020</t>
  </si>
  <si>
    <t xml:space="preserve">paulo               </t>
  </si>
  <si>
    <t xml:space="preserve">GLADYS              </t>
  </si>
  <si>
    <t xml:space="preserve">BRENDAN             </t>
  </si>
  <si>
    <t xml:space="preserve">Verona  08 55       </t>
  </si>
  <si>
    <t xml:space="preserve">KHULEKANI           </t>
  </si>
  <si>
    <t xml:space="preserve">Fanuel              </t>
  </si>
  <si>
    <t xml:space="preserve">costa               </t>
  </si>
  <si>
    <t xml:space="preserve">Chermane            </t>
  </si>
  <si>
    <t xml:space="preserve">Piet                </t>
  </si>
  <si>
    <t xml:space="preserve">gibson              </t>
  </si>
  <si>
    <t xml:space="preserve">Ashley              </t>
  </si>
  <si>
    <t xml:space="preserve">eleanor             </t>
  </si>
  <si>
    <t xml:space="preserve">Delisile            </t>
  </si>
  <si>
    <t xml:space="preserve">rinesh              </t>
  </si>
  <si>
    <t xml:space="preserve">shakiir             </t>
  </si>
  <si>
    <t xml:space="preserve">Tsolofelo           </t>
  </si>
  <si>
    <t xml:space="preserve">annah               </t>
  </si>
  <si>
    <t xml:space="preserve">Marco               </t>
  </si>
  <si>
    <t xml:space="preserve">Dawald              </t>
  </si>
  <si>
    <t xml:space="preserve">godwin              </t>
  </si>
  <si>
    <t xml:space="preserve">Sandile             </t>
  </si>
  <si>
    <t xml:space="preserve">jabu                </t>
  </si>
  <si>
    <t xml:space="preserve">J Sleyr             </t>
  </si>
  <si>
    <t xml:space="preserve">okee                </t>
  </si>
  <si>
    <t xml:space="preserve">bran                </t>
  </si>
  <si>
    <t xml:space="preserve">annetjie            </t>
  </si>
  <si>
    <t xml:space="preserve">niven               </t>
  </si>
  <si>
    <t xml:space="preserve">BREEDT              </t>
  </si>
  <si>
    <t xml:space="preserve">Leon                </t>
  </si>
  <si>
    <t xml:space="preserve">Roshni              </t>
  </si>
  <si>
    <t>AMS AFRILEC PROJECTS</t>
  </si>
  <si>
    <t>PTA</t>
  </si>
  <si>
    <t>SHATTERPRUFE NEAVE P</t>
  </si>
  <si>
    <t>FAIR CAPE DAIRIES (P</t>
  </si>
  <si>
    <t xml:space="preserve">INDOCO REMEDIES     </t>
  </si>
  <si>
    <t>DUNDEE</t>
  </si>
  <si>
    <t>NAMPAK RIGID PLASTIC</t>
  </si>
  <si>
    <t xml:space="preserve">AFROX GOC LTD       </t>
  </si>
  <si>
    <t xml:space="preserve">xomm                </t>
  </si>
  <si>
    <t>EAST COAST INSTRUMEN</t>
  </si>
  <si>
    <t>CSIR CENTRAL PROCURE</t>
  </si>
  <si>
    <t>SASOL DYNO NOBEL PTY</t>
  </si>
  <si>
    <t>ATC INNOVATION (PTY)</t>
  </si>
  <si>
    <t>ELINEM ENGINEERING P</t>
  </si>
  <si>
    <t>SOMERSET EAST</t>
  </si>
  <si>
    <t xml:space="preserve">P.J.ENGINEERING     </t>
  </si>
  <si>
    <t xml:space="preserve">KA GO 2 GO          </t>
  </si>
  <si>
    <t xml:space="preserve">marco               </t>
  </si>
  <si>
    <t xml:space="preserve">BEARINGS ON CC      </t>
  </si>
  <si>
    <t xml:space="preserve">WATT AFRICA         </t>
  </si>
  <si>
    <t>JASCO TRADING PTY LT</t>
  </si>
  <si>
    <t>MODULAR MASTS   TOWE</t>
  </si>
  <si>
    <t>CERES</t>
  </si>
  <si>
    <t xml:space="preserve">CERES SPRING WATER  </t>
  </si>
  <si>
    <t>AUTOPAC MACHINERY CO</t>
  </si>
  <si>
    <t>JM FREE   ASSOCIATES</t>
  </si>
  <si>
    <t>PROCESS DYNAMICS PTY</t>
  </si>
  <si>
    <t xml:space="preserve">Cara                </t>
  </si>
  <si>
    <t>MAIN STREET 1310 PTY</t>
  </si>
  <si>
    <t>NETAFIM SOUTH AFRICA</t>
  </si>
  <si>
    <t>BLISS BRANDS (PTY) L</t>
  </si>
  <si>
    <t xml:space="preserve">MECHANICAL CONCEPTS </t>
  </si>
  <si>
    <t>HULAMIN OPERATIONS P</t>
  </si>
  <si>
    <t xml:space="preserve">BOWLER PLASTICS     </t>
  </si>
  <si>
    <t xml:space="preserve">UMOYA AUTOMATION CC </t>
  </si>
  <si>
    <t>L OREAL MANUFACTURIN</t>
  </si>
  <si>
    <t xml:space="preserve">doris               </t>
  </si>
  <si>
    <t xml:space="preserve">SOLOMON             </t>
  </si>
  <si>
    <t xml:space="preserve">george              </t>
  </si>
  <si>
    <t xml:space="preserve">Hopewell            </t>
  </si>
  <si>
    <t xml:space="preserve">kobie               </t>
  </si>
  <si>
    <t xml:space="preserve">Michael             </t>
  </si>
  <si>
    <t xml:space="preserve">Tony                </t>
  </si>
  <si>
    <t xml:space="preserve">Kabelo              </t>
  </si>
  <si>
    <t xml:space="preserve">Yamkrla             </t>
  </si>
  <si>
    <t xml:space="preserve">Yolanda             </t>
  </si>
  <si>
    <t xml:space="preserve">Ivenile             </t>
  </si>
  <si>
    <t xml:space="preserve">Gugu                </t>
  </si>
  <si>
    <t xml:space="preserve">KHUMALO             </t>
  </si>
  <si>
    <t xml:space="preserve">Jacque              </t>
  </si>
  <si>
    <t xml:space="preserve">sindile             </t>
  </si>
  <si>
    <t xml:space="preserve">Sanjey              </t>
  </si>
  <si>
    <t xml:space="preserve">pauline             </t>
  </si>
  <si>
    <t xml:space="preserve">ROLAND              </t>
  </si>
  <si>
    <t xml:space="preserve">ISAAC               </t>
  </si>
  <si>
    <t xml:space="preserve">Nonkululeko         </t>
  </si>
  <si>
    <t xml:space="preserve">lindani             </t>
  </si>
  <si>
    <t xml:space="preserve">M EEDEN             </t>
  </si>
  <si>
    <t xml:space="preserve">h laolita           </t>
  </si>
  <si>
    <t xml:space="preserve">Boitumelo           </t>
  </si>
  <si>
    <t xml:space="preserve">CO STAMP            </t>
  </si>
  <si>
    <t xml:space="preserve">Ettienne            </t>
  </si>
  <si>
    <t xml:space="preserve">Van der merwe       </t>
  </si>
  <si>
    <t xml:space="preserve">michelle            </t>
  </si>
  <si>
    <t xml:space="preserve">Amos                </t>
  </si>
  <si>
    <t xml:space="preserve">Ntuthuzelo          </t>
  </si>
  <si>
    <t xml:space="preserve">Samuel              </t>
  </si>
  <si>
    <t xml:space="preserve">jeff                </t>
  </si>
  <si>
    <t xml:space="preserve">J Laubscher         </t>
  </si>
  <si>
    <t xml:space="preserve">Navan               </t>
  </si>
  <si>
    <t xml:space="preserve">vinuesh             </t>
  </si>
  <si>
    <t xml:space="preserve">themba              </t>
  </si>
  <si>
    <t>Clifford MACHINES TE</t>
  </si>
  <si>
    <t xml:space="preserve">jocobs              </t>
  </si>
  <si>
    <t xml:space="preserve">Danny               </t>
  </si>
  <si>
    <t>14/10/2020</t>
  </si>
  <si>
    <t xml:space="preserve">ntombi              </t>
  </si>
  <si>
    <t xml:space="preserve">barbara             </t>
  </si>
  <si>
    <t xml:space="preserve">Bongani             </t>
  </si>
  <si>
    <t xml:space="preserve">s fourie            </t>
  </si>
  <si>
    <t xml:space="preserve">PREVESH             </t>
  </si>
  <si>
    <t xml:space="preserve">mlu                 </t>
  </si>
  <si>
    <t xml:space="preserve">ndumiso             </t>
  </si>
  <si>
    <t xml:space="preserve">kosta               </t>
  </si>
  <si>
    <t xml:space="preserve">Nonkuleleko         </t>
  </si>
  <si>
    <t xml:space="preserve">Eleanor             </t>
  </si>
  <si>
    <t xml:space="preserve">Jason               </t>
  </si>
  <si>
    <t xml:space="preserve">hansel              </t>
  </si>
  <si>
    <t xml:space="preserve">MASIVUYE            </t>
  </si>
  <si>
    <t xml:space="preserve">Mercia              </t>
  </si>
  <si>
    <t xml:space="preserve">Garvener            </t>
  </si>
  <si>
    <t xml:space="preserve">andreas             </t>
  </si>
  <si>
    <t xml:space="preserve">rickey              </t>
  </si>
  <si>
    <t xml:space="preserve">Chad                </t>
  </si>
  <si>
    <t xml:space="preserve">Trevor              </t>
  </si>
  <si>
    <t xml:space="preserve">chris 9 35          </t>
  </si>
  <si>
    <t xml:space="preserve">NANDIPHA            </t>
  </si>
  <si>
    <t xml:space="preserve">zaaida              </t>
  </si>
  <si>
    <t xml:space="preserve">Chris 9 35          </t>
  </si>
  <si>
    <t xml:space="preserve">JOYCE               </t>
  </si>
  <si>
    <t xml:space="preserve">tarry               </t>
  </si>
  <si>
    <t xml:space="preserve">Mina                </t>
  </si>
  <si>
    <t xml:space="preserve">busi                </t>
  </si>
  <si>
    <t>NAMPAK PRODUCTS LIMI</t>
  </si>
  <si>
    <t xml:space="preserve">Aubrey              </t>
  </si>
  <si>
    <t>BBF SAFETY GROUP PTY</t>
  </si>
  <si>
    <t>RYMCO PTY LTD T A AN</t>
  </si>
  <si>
    <t xml:space="preserve">canted              </t>
  </si>
  <si>
    <t xml:space="preserve">CSIR PRETORIA       </t>
  </si>
  <si>
    <t xml:space="preserve">PJ ENGINEERING      </t>
  </si>
  <si>
    <t>RHEINMETALL LAINGSDA</t>
  </si>
  <si>
    <t>GLEDHOW SUGAR CO. PT</t>
  </si>
  <si>
    <t xml:space="preserve">IDWALA CARBONATES   </t>
  </si>
  <si>
    <t xml:space="preserve">CORNING PRODUCTS    </t>
  </si>
  <si>
    <t>GREYTOWN</t>
  </si>
  <si>
    <t xml:space="preserve">UCL COMPANY         </t>
  </si>
  <si>
    <t>KINGWILLIAMSTOWN</t>
  </si>
  <si>
    <t xml:space="preserve">REHAU POLYMER (PTY) </t>
  </si>
  <si>
    <t xml:space="preserve">TECTRA AUTOMATION   </t>
  </si>
  <si>
    <t xml:space="preserve">QUALIPAK (PTY) LTD  </t>
  </si>
  <si>
    <t>MINERAL PROCESSING T</t>
  </si>
  <si>
    <t xml:space="preserve">mark craddoch       </t>
  </si>
  <si>
    <t>CONSIGNMENT ACC - DK</t>
  </si>
  <si>
    <t>STILFONTEIN</t>
  </si>
  <si>
    <t>PRIME INSTRUMENTATIO</t>
  </si>
  <si>
    <t>Outlying delivery location</t>
  </si>
  <si>
    <t>illeg</t>
  </si>
  <si>
    <t>d pillay</t>
  </si>
  <si>
    <t>Simorne</t>
  </si>
  <si>
    <t>RTS BACK TO FESTO (BAD ADDRESS)</t>
  </si>
  <si>
    <t>GARFIELD</t>
  </si>
  <si>
    <t>RTS BACK TO FESTO (2 ADDRESSES ON 1 INVOICE)</t>
  </si>
  <si>
    <t>Robby</t>
  </si>
  <si>
    <t>RTS BACK TO FESTO( cliend moved to polokwane)</t>
  </si>
  <si>
    <t xml:space="preserve">          </t>
  </si>
  <si>
    <t xml:space="preserve">mandisi             </t>
  </si>
  <si>
    <t xml:space="preserve">ROBERT              </t>
  </si>
  <si>
    <t xml:space="preserve">Roland              </t>
  </si>
  <si>
    <t xml:space="preserve">Sonnyboy            </t>
  </si>
  <si>
    <t xml:space="preserve"> ndumiso            </t>
  </si>
  <si>
    <t xml:space="preserve">collingridge        </t>
  </si>
  <si>
    <t xml:space="preserve">A BAZIER            </t>
  </si>
  <si>
    <t xml:space="preserve">selby               </t>
  </si>
  <si>
    <t xml:space="preserve">Mkhumane            </t>
  </si>
  <si>
    <t xml:space="preserve">doreen              </t>
  </si>
  <si>
    <t xml:space="preserve">suer                </t>
  </si>
  <si>
    <t xml:space="preserve">oratile             </t>
  </si>
  <si>
    <t xml:space="preserve">anathi              </t>
  </si>
  <si>
    <t xml:space="preserve">kurt                </t>
  </si>
  <si>
    <t xml:space="preserve">dein                </t>
  </si>
  <si>
    <t xml:space="preserve">Sizake              </t>
  </si>
  <si>
    <t>15/10/2020</t>
  </si>
  <si>
    <t xml:space="preserve">given               </t>
  </si>
  <si>
    <t xml:space="preserve">mpaleni             </t>
  </si>
  <si>
    <t xml:space="preserve">Derick              </t>
  </si>
  <si>
    <t xml:space="preserve">janet               </t>
  </si>
  <si>
    <t xml:space="preserve">T -XELS             </t>
  </si>
  <si>
    <t xml:space="preserve">kay pillay          </t>
  </si>
  <si>
    <t xml:space="preserve">Verita              </t>
  </si>
  <si>
    <t xml:space="preserve">amon                </t>
  </si>
  <si>
    <t xml:space="preserve">Zakia               </t>
  </si>
  <si>
    <t xml:space="preserve">Dean                </t>
  </si>
  <si>
    <t xml:space="preserve">caddle              </t>
  </si>
  <si>
    <t xml:space="preserve">beanca              </t>
  </si>
  <si>
    <t xml:space="preserve">Orbet               </t>
  </si>
  <si>
    <t xml:space="preserve">Heino               </t>
  </si>
  <si>
    <t xml:space="preserve">T Koba              </t>
  </si>
  <si>
    <t xml:space="preserve">elizabeth           </t>
  </si>
  <si>
    <t xml:space="preserve">Lethu               </t>
  </si>
  <si>
    <t xml:space="preserve">ZACH                </t>
  </si>
  <si>
    <t xml:space="preserve">BLENDCOR (PTY) LTD  </t>
  </si>
  <si>
    <t>SUNNY PACKS MANUFACT</t>
  </si>
  <si>
    <t>DE BEERS GROUP SERVI</t>
  </si>
  <si>
    <t>OPEN DOOR TRADERS CC</t>
  </si>
  <si>
    <t>CBI ELECTRIC TELECOM</t>
  </si>
  <si>
    <t xml:space="preserve">RETECON SERVICES    </t>
  </si>
  <si>
    <t xml:space="preserve">Romano              </t>
  </si>
  <si>
    <t>MERCEDES BENZ TRAINI</t>
  </si>
  <si>
    <t>DUNLOP INDUSTRIAL PR</t>
  </si>
  <si>
    <t xml:space="preserve">PFG BUILDING GLASS  </t>
  </si>
  <si>
    <t>VERULAM</t>
  </si>
  <si>
    <t>TONGAAT HULETTS GROU</t>
  </si>
  <si>
    <t>SIGNAL INSTRUMENTATI</t>
  </si>
  <si>
    <t xml:space="preserve">jako                </t>
  </si>
  <si>
    <t xml:space="preserve">APR AUTOMATION      </t>
  </si>
  <si>
    <t>UGIE</t>
  </si>
  <si>
    <t>PG BISON PTY LTD UGI</t>
  </si>
  <si>
    <t>KIM TAYLOR ENTEPRISE</t>
  </si>
  <si>
    <t>VRG</t>
  </si>
  <si>
    <t>FRONERI SOUTH AFRICA</t>
  </si>
  <si>
    <t>AFGRI POULTRY (PTY)L</t>
  </si>
  <si>
    <t xml:space="preserve">G.U.D HOLDINGS      </t>
  </si>
  <si>
    <t>COCA-COLA BEVERGES S</t>
  </si>
  <si>
    <t xml:space="preserve">Raj Raj             </t>
  </si>
  <si>
    <t xml:space="preserve">KIMBERLY CLARK      </t>
  </si>
  <si>
    <t xml:space="preserve">TOYOTA SA MOTORS    </t>
  </si>
  <si>
    <t>NATIONAL CERAMIC IND</t>
  </si>
  <si>
    <t xml:space="preserve">PREMIER BAKERY      </t>
  </si>
  <si>
    <t>CULINARY A DIV OF TI</t>
  </si>
  <si>
    <t>WASSERTEC OZONE SYST</t>
  </si>
  <si>
    <t xml:space="preserve">BRAVO GROUP LOUGE   </t>
  </si>
  <si>
    <t xml:space="preserve">AFRISAM SA          </t>
  </si>
  <si>
    <t>ENAEX NITRO EXPLOSIV</t>
  </si>
  <si>
    <t>NEW ERA LABELS (BOP)</t>
  </si>
  <si>
    <t>CDP MANUFACTURING CC</t>
  </si>
  <si>
    <t>PRODUCTIVE SYSTEMS C</t>
  </si>
  <si>
    <t>KANSAI PLASCON (PTY)</t>
  </si>
  <si>
    <t>MITAS CORPORATION (P</t>
  </si>
  <si>
    <t>NORTON   SCALLAN MIN</t>
  </si>
  <si>
    <t>LAFARGE INDUSTRIES S</t>
  </si>
  <si>
    <t xml:space="preserve">NEUMATICS KZN       </t>
  </si>
  <si>
    <t>EWAYBILL COLLECTION</t>
  </si>
  <si>
    <t>jenny</t>
  </si>
  <si>
    <t>Sonnyboy</t>
  </si>
  <si>
    <t xml:space="preserve">saban               </t>
  </si>
  <si>
    <t xml:space="preserve">vukile              </t>
  </si>
  <si>
    <t xml:space="preserve">cedric 09 42        </t>
  </si>
  <si>
    <t xml:space="preserve">Keith               </t>
  </si>
  <si>
    <t xml:space="preserve">Rayno               </t>
  </si>
  <si>
    <t xml:space="preserve">filies              </t>
  </si>
  <si>
    <t xml:space="preserve">Shipho              </t>
  </si>
  <si>
    <t xml:space="preserve">ciska               </t>
  </si>
  <si>
    <t xml:space="preserve">Niren               </t>
  </si>
  <si>
    <t xml:space="preserve">lindano             </t>
  </si>
  <si>
    <t xml:space="preserve">summit              </t>
  </si>
  <si>
    <t xml:space="preserve">Zahid               </t>
  </si>
  <si>
    <t xml:space="preserve">johnson             </t>
  </si>
  <si>
    <t xml:space="preserve">collin              </t>
  </si>
  <si>
    <t xml:space="preserve">John                </t>
  </si>
  <si>
    <t xml:space="preserve">kiven               </t>
  </si>
  <si>
    <t xml:space="preserve">nkanyiso            </t>
  </si>
  <si>
    <t xml:space="preserve">devan               </t>
  </si>
  <si>
    <t xml:space="preserve">Nkule               </t>
  </si>
  <si>
    <t xml:space="preserve">phinda              </t>
  </si>
  <si>
    <t xml:space="preserve">RHONA               </t>
  </si>
  <si>
    <t xml:space="preserve">Msizi               </t>
  </si>
  <si>
    <t xml:space="preserve">gert                </t>
  </si>
  <si>
    <t xml:space="preserve">mandla              </t>
  </si>
  <si>
    <t>16/10/2020</t>
  </si>
  <si>
    <t xml:space="preserve">J J Matthews        </t>
  </si>
  <si>
    <t xml:space="preserve">arsula              </t>
  </si>
  <si>
    <t xml:space="preserve">TEBOGO              </t>
  </si>
  <si>
    <t xml:space="preserve">Jessica             </t>
  </si>
  <si>
    <t xml:space="preserve">ALINA               </t>
  </si>
  <si>
    <t xml:space="preserve">Lucrecia            </t>
  </si>
  <si>
    <t xml:space="preserve">Cidney              </t>
  </si>
  <si>
    <t xml:space="preserve">NOMZI               </t>
  </si>
  <si>
    <t xml:space="preserve">jjpaard             </t>
  </si>
  <si>
    <t xml:space="preserve">Magret              </t>
  </si>
  <si>
    <t xml:space="preserve">judy                </t>
  </si>
  <si>
    <t xml:space="preserve">MICHAEL             </t>
  </si>
  <si>
    <t xml:space="preserve">dumi                </t>
  </si>
  <si>
    <t xml:space="preserve">J WALTER            </t>
  </si>
  <si>
    <t xml:space="preserve">xolelwa             </t>
  </si>
  <si>
    <t xml:space="preserve">amirtha             </t>
  </si>
  <si>
    <t xml:space="preserve">kreolen             </t>
  </si>
  <si>
    <t xml:space="preserve">sibusiso            </t>
  </si>
  <si>
    <t xml:space="preserve">afrika              </t>
  </si>
  <si>
    <t xml:space="preserve">rob                 </t>
  </si>
  <si>
    <t xml:space="preserve">S Munsami           </t>
  </si>
  <si>
    <t xml:space="preserve">THEO                </t>
  </si>
  <si>
    <t xml:space="preserve">baster              </t>
  </si>
  <si>
    <t xml:space="preserve">shane               </t>
  </si>
  <si>
    <t xml:space="preserve">Bulelwa             </t>
  </si>
  <si>
    <t xml:space="preserve">VINCENT             </t>
  </si>
  <si>
    <t xml:space="preserve">Simphiwe            </t>
  </si>
  <si>
    <t xml:space="preserve">edwina              </t>
  </si>
  <si>
    <t xml:space="preserve">n daluka            </t>
  </si>
  <si>
    <t xml:space="preserve">Ayanda              </t>
  </si>
  <si>
    <t xml:space="preserve">nkanyido            </t>
  </si>
  <si>
    <t xml:space="preserve">kathy               </t>
  </si>
  <si>
    <t xml:space="preserve">WILLIAM             </t>
  </si>
  <si>
    <t xml:space="preserve">jean                </t>
  </si>
  <si>
    <t xml:space="preserve">WILLEM              </t>
  </si>
  <si>
    <t xml:space="preserve">Thabo               </t>
  </si>
  <si>
    <t xml:space="preserve">shieen              </t>
  </si>
  <si>
    <t xml:space="preserve">Patra               </t>
  </si>
  <si>
    <t xml:space="preserve">nokuthula           </t>
  </si>
  <si>
    <t xml:space="preserve">Dewald              </t>
  </si>
  <si>
    <t xml:space="preserve">Billy               </t>
  </si>
  <si>
    <t xml:space="preserve">freeman             </t>
  </si>
  <si>
    <t xml:space="preserve">Elvis               </t>
  </si>
  <si>
    <t xml:space="preserve">Cindy               </t>
  </si>
  <si>
    <t xml:space="preserve">Gareth              </t>
  </si>
  <si>
    <t xml:space="preserve">nathi               </t>
  </si>
  <si>
    <t xml:space="preserve">TF DESIGN (PTY) LTD </t>
  </si>
  <si>
    <t xml:space="preserve">TECHNOGRAN          </t>
  </si>
  <si>
    <t>SNS ENGINEERING   CO</t>
  </si>
  <si>
    <t xml:space="preserve">RCL FOODS CONSUMER  </t>
  </si>
  <si>
    <t>GERBER FRESH (PTY) L</t>
  </si>
  <si>
    <t xml:space="preserve">UNILEVER SA         </t>
  </si>
  <si>
    <t>NLP</t>
  </si>
  <si>
    <t>NELSPRUIT</t>
  </si>
  <si>
    <t xml:space="preserve">ELECTRO SYSTEMS     </t>
  </si>
  <si>
    <t>ACTIVE ENTERPRISES C</t>
  </si>
  <si>
    <t xml:space="preserve">elliaz              </t>
  </si>
  <si>
    <t>VITAL HEALTH FOODS P</t>
  </si>
  <si>
    <t>HI CALIBRE ENGINEERI</t>
  </si>
  <si>
    <t xml:space="preserve">BULK TECHNIK CC     </t>
  </si>
  <si>
    <t xml:space="preserve">COCHRAN STEEL       </t>
  </si>
  <si>
    <t>SPICER AXLE (PTY) LT</t>
  </si>
  <si>
    <t xml:space="preserve">RG BROSE AUTOMOTIVE </t>
  </si>
  <si>
    <t xml:space="preserve">Nosipho             </t>
  </si>
  <si>
    <t xml:space="preserve">PFK ELECTRONICS PTY </t>
  </si>
  <si>
    <t>UNILEVER S.A (PTY) L</t>
  </si>
  <si>
    <t xml:space="preserve">COCHRANE STEEL      </t>
  </si>
  <si>
    <t xml:space="preserve">BASF SA PTY LTD     </t>
  </si>
  <si>
    <t>FAURECIA EMISSIONS C</t>
  </si>
  <si>
    <t>COCA-COCAL BEVERAGES</t>
  </si>
  <si>
    <t xml:space="preserve">PPC CEMENT SA       </t>
  </si>
  <si>
    <t xml:space="preserve">DEP MANUFACTURING   </t>
  </si>
  <si>
    <t xml:space="preserve">VACUQUIP SOLUTIONS  </t>
  </si>
  <si>
    <t xml:space="preserve">DG IMPEX CC         </t>
  </si>
  <si>
    <t>TIGERS GLOBAL LOGIST</t>
  </si>
  <si>
    <t>A.P.L. CARTONS (PTY)</t>
  </si>
  <si>
    <t xml:space="preserve">GRIEF SA            </t>
  </si>
  <si>
    <t>ISUZU MOTORS S.A (PT</t>
  </si>
  <si>
    <t>ORION INGENIEURSWERK</t>
  </si>
  <si>
    <t>WIT</t>
  </si>
  <si>
    <t>MIDDELBURG (Mpumalanga)</t>
  </si>
  <si>
    <t xml:space="preserve">SUPPLYTECH          </t>
  </si>
  <si>
    <t>KIM</t>
  </si>
  <si>
    <t>DANIELSKUIL</t>
  </si>
  <si>
    <t>IDWALA INDUSTRIAL HO</t>
  </si>
  <si>
    <t>HEILBRON</t>
  </si>
  <si>
    <t xml:space="preserve">CLOVER S.A          </t>
  </si>
  <si>
    <t>JLINC T A TAMASA TRA</t>
  </si>
  <si>
    <t>LEDA ENGINEERING SER</t>
  </si>
  <si>
    <t xml:space="preserve">COCA COLA PENINSULA </t>
  </si>
  <si>
    <t>SENIOR FLEXONICS (SA</t>
  </si>
  <si>
    <t>ATLANTIS</t>
  </si>
  <si>
    <t xml:space="preserve">ZF ACTIVE   PASSIVE </t>
  </si>
  <si>
    <t>TSHWANE UNIVERSITY O</t>
  </si>
  <si>
    <t>UCL COMPANY (PTY)LTD</t>
  </si>
  <si>
    <t xml:space="preserve">UV + IR ENGINEERING </t>
  </si>
  <si>
    <t xml:space="preserve">MAGNET ELECTRICAL   </t>
  </si>
  <si>
    <t xml:space="preserve">joash               </t>
  </si>
  <si>
    <t xml:space="preserve">HENDOK DISTRIBUTION </t>
  </si>
  <si>
    <t xml:space="preserve">sash                </t>
  </si>
  <si>
    <t xml:space="preserve">MEXAN PRODUCTS      </t>
  </si>
  <si>
    <t>SMMF SOFTWARE TECHNO</t>
  </si>
  <si>
    <t>IMANA FOODS SA (PTY)</t>
  </si>
  <si>
    <t xml:space="preserve">DALE SPIRAL SYSTEMS </t>
  </si>
  <si>
    <t xml:space="preserve">IMARA AUTOMATION    </t>
  </si>
  <si>
    <t>AUTO CATALYST PRODUC</t>
  </si>
  <si>
    <t xml:space="preserve">EDM SHOP            </t>
  </si>
  <si>
    <t>DE BEERS CONSOLIDATE</t>
  </si>
  <si>
    <t>shaakir</t>
  </si>
  <si>
    <t>shots</t>
  </si>
  <si>
    <t xml:space="preserve">Cameron             </t>
  </si>
  <si>
    <t xml:space="preserve">tedlen              </t>
  </si>
  <si>
    <t xml:space="preserve">NIKI                </t>
  </si>
  <si>
    <t xml:space="preserve">JUNIOR              </t>
  </si>
  <si>
    <t xml:space="preserve">Franklin            </t>
  </si>
  <si>
    <t xml:space="preserve">siya                </t>
  </si>
  <si>
    <t xml:space="preserve">Richsrd             </t>
  </si>
  <si>
    <t xml:space="preserve">maulatse            </t>
  </si>
  <si>
    <t xml:space="preserve">Alison              </t>
  </si>
  <si>
    <t xml:space="preserve">THANDO              </t>
  </si>
  <si>
    <t xml:space="preserve">randal              </t>
  </si>
  <si>
    <t xml:space="preserve">R Brugers           </t>
  </si>
  <si>
    <t xml:space="preserve">MAILA               </t>
  </si>
  <si>
    <t xml:space="preserve">Joel                </t>
  </si>
  <si>
    <t xml:space="preserve">zakes               </t>
  </si>
  <si>
    <t xml:space="preserve">Thomas              </t>
  </si>
  <si>
    <t xml:space="preserve">Onele               </t>
  </si>
  <si>
    <t xml:space="preserve">Rouen               </t>
  </si>
  <si>
    <t xml:space="preserve">respect             </t>
  </si>
  <si>
    <t xml:space="preserve">rolend              </t>
  </si>
  <si>
    <t xml:space="preserve">karlien             </t>
  </si>
  <si>
    <t xml:space="preserve">evette              </t>
  </si>
  <si>
    <t xml:space="preserve">Mpho                </t>
  </si>
  <si>
    <t xml:space="preserve">angela              </t>
  </si>
  <si>
    <t xml:space="preserve">MOFFAT              </t>
  </si>
  <si>
    <t xml:space="preserve">vincent             </t>
  </si>
  <si>
    <t xml:space="preserve">nicholad            </t>
  </si>
  <si>
    <t xml:space="preserve">subesh              </t>
  </si>
  <si>
    <t xml:space="preserve">Dieter              </t>
  </si>
  <si>
    <t xml:space="preserve">Dilan               </t>
  </si>
  <si>
    <t xml:space="preserve">DOLIEN              </t>
  </si>
  <si>
    <t xml:space="preserve">Leonie              </t>
  </si>
  <si>
    <t xml:space="preserve">delia               </t>
  </si>
  <si>
    <t xml:space="preserve">LELEKHE             </t>
  </si>
  <si>
    <t xml:space="preserve">albredt             </t>
  </si>
  <si>
    <t xml:space="preserve">erve                </t>
  </si>
  <si>
    <t xml:space="preserve">Alex                </t>
  </si>
  <si>
    <t xml:space="preserve">mslibengiwe         </t>
  </si>
  <si>
    <t xml:space="preserve">kerusha             </t>
  </si>
  <si>
    <t xml:space="preserve">dominique           </t>
  </si>
  <si>
    <t xml:space="preserve">GUGNGUKLET          </t>
  </si>
  <si>
    <t xml:space="preserve">nivesh 9 40         </t>
  </si>
  <si>
    <t>19/10/2020</t>
  </si>
  <si>
    <t xml:space="preserve">vishnu              </t>
  </si>
  <si>
    <t xml:space="preserve">Sipho               </t>
  </si>
  <si>
    <t xml:space="preserve">Natasha             </t>
  </si>
  <si>
    <t xml:space="preserve">ENOCH               </t>
  </si>
  <si>
    <t xml:space="preserve">benjamin            </t>
  </si>
  <si>
    <t xml:space="preserve">tessa               </t>
  </si>
  <si>
    <t>20/10/2020</t>
  </si>
  <si>
    <t xml:space="preserve">RESHIK              </t>
  </si>
  <si>
    <t xml:space="preserve">nozipho             </t>
  </si>
  <si>
    <t xml:space="preserve">vishu               </t>
  </si>
  <si>
    <t xml:space="preserve">elrich              </t>
  </si>
  <si>
    <t xml:space="preserve">pearl               </t>
  </si>
  <si>
    <t xml:space="preserve">neela               </t>
  </si>
  <si>
    <t xml:space="preserve">mdi                 </t>
  </si>
  <si>
    <t xml:space="preserve">MPUMELELO           </t>
  </si>
  <si>
    <t xml:space="preserve">shirna              </t>
  </si>
  <si>
    <t xml:space="preserve">TARRYN              </t>
  </si>
  <si>
    <t xml:space="preserve">siphelele           </t>
  </si>
  <si>
    <t xml:space="preserve">guss                </t>
  </si>
  <si>
    <t xml:space="preserve">GUGNGUKE            </t>
  </si>
  <si>
    <t xml:space="preserve">wnrico              </t>
  </si>
  <si>
    <t xml:space="preserve">eunice              </t>
  </si>
  <si>
    <t xml:space="preserve">n dauka             </t>
  </si>
  <si>
    <t xml:space="preserve">Christina           </t>
  </si>
  <si>
    <t xml:space="preserve">chambara            </t>
  </si>
  <si>
    <t xml:space="preserve">fana                </t>
  </si>
  <si>
    <t xml:space="preserve">reggy               </t>
  </si>
  <si>
    <t xml:space="preserve">Sam warehouse       </t>
  </si>
  <si>
    <t xml:space="preserve">jiveshni            </t>
  </si>
  <si>
    <t xml:space="preserve">carth               </t>
  </si>
  <si>
    <t xml:space="preserve">Ronald              </t>
  </si>
  <si>
    <t xml:space="preserve">taryn lee           </t>
  </si>
  <si>
    <t xml:space="preserve">DEEN                </t>
  </si>
  <si>
    <t xml:space="preserve">NMHUVO              </t>
  </si>
  <si>
    <t xml:space="preserve">Kwakwari            </t>
  </si>
  <si>
    <t xml:space="preserve">brendon             </t>
  </si>
  <si>
    <t xml:space="preserve">jerusha             </t>
  </si>
  <si>
    <t xml:space="preserve">neetesh             </t>
  </si>
  <si>
    <t xml:space="preserve">Chemane             </t>
  </si>
  <si>
    <t xml:space="preserve">PIETER              </t>
  </si>
  <si>
    <t xml:space="preserve">RUITERS             </t>
  </si>
  <si>
    <t xml:space="preserve">ELTON               </t>
  </si>
  <si>
    <t xml:space="preserve">A LUTZELLER         </t>
  </si>
  <si>
    <t xml:space="preserve">Toss                </t>
  </si>
  <si>
    <t xml:space="preserve">GUGNULUZA           </t>
  </si>
  <si>
    <t xml:space="preserve">cindy               </t>
  </si>
  <si>
    <t xml:space="preserve">R BOOYSEN           </t>
  </si>
  <si>
    <t xml:space="preserve">angelo              </t>
  </si>
  <si>
    <t xml:space="preserve">nonjubulo           </t>
  </si>
  <si>
    <t xml:space="preserve">isaaack             </t>
  </si>
  <si>
    <t xml:space="preserve">E BOOYSEN           </t>
  </si>
  <si>
    <t xml:space="preserve">mxo                 </t>
  </si>
  <si>
    <t xml:space="preserve">Jorols              </t>
  </si>
  <si>
    <t xml:space="preserve">Susan               </t>
  </si>
  <si>
    <t xml:space="preserve">lorraine            </t>
  </si>
  <si>
    <t xml:space="preserve">DEAN                </t>
  </si>
  <si>
    <t xml:space="preserve">DASHEN              </t>
  </si>
  <si>
    <t xml:space="preserve">Danielle            </t>
  </si>
  <si>
    <t xml:space="preserve">tienie              </t>
  </si>
  <si>
    <t xml:space="preserve">Siphiwe             </t>
  </si>
  <si>
    <t xml:space="preserve">JAMES               </t>
  </si>
  <si>
    <t xml:space="preserve">MARK                </t>
  </si>
  <si>
    <t xml:space="preserve">a staltz            </t>
  </si>
  <si>
    <t xml:space="preserve">J Steyn             </t>
  </si>
  <si>
    <t xml:space="preserve">hard                </t>
  </si>
  <si>
    <t xml:space="preserve">bheki               </t>
  </si>
  <si>
    <t xml:space="preserve">ALLAIN              </t>
  </si>
  <si>
    <t xml:space="preserve">Phello              </t>
  </si>
  <si>
    <t xml:space="preserve">Robert              </t>
  </si>
  <si>
    <t xml:space="preserve">suzie               </t>
  </si>
  <si>
    <t xml:space="preserve">Cliford             </t>
  </si>
  <si>
    <t xml:space="preserve">clivian             </t>
  </si>
  <si>
    <t xml:space="preserve">NCOBO               </t>
  </si>
  <si>
    <t xml:space="preserve">GUGULETUI           </t>
  </si>
  <si>
    <t xml:space="preserve">TRENDI              </t>
  </si>
  <si>
    <t xml:space="preserve">chayi               </t>
  </si>
  <si>
    <t xml:space="preserve">RUSSEL              </t>
  </si>
  <si>
    <t xml:space="preserve">phillip             </t>
  </si>
  <si>
    <t xml:space="preserve">solomon             </t>
  </si>
  <si>
    <t xml:space="preserve">sololon             </t>
  </si>
  <si>
    <t xml:space="preserve">UNILIVER            </t>
  </si>
  <si>
    <t xml:space="preserve">PROCON PRECASET PTY </t>
  </si>
  <si>
    <t xml:space="preserve">HELEN               </t>
  </si>
  <si>
    <t xml:space="preserve">FRANCINA            </t>
  </si>
  <si>
    <t xml:space="preserve">kani                </t>
  </si>
  <si>
    <t xml:space="preserve">VICTOR              </t>
  </si>
  <si>
    <t xml:space="preserve">TRANDI              </t>
  </si>
  <si>
    <t xml:space="preserve">allson              </t>
  </si>
  <si>
    <t xml:space="preserve">PREMIER FMCG        </t>
  </si>
  <si>
    <t xml:space="preserve">HENRY               </t>
  </si>
  <si>
    <t xml:space="preserve">COCA - COLA PE      </t>
  </si>
  <si>
    <t>BALLENA TRADING 31 P</t>
  </si>
  <si>
    <t xml:space="preserve">greminah            </t>
  </si>
  <si>
    <t xml:space="preserve">Mariunis            </t>
  </si>
  <si>
    <t xml:space="preserve">hanno               </t>
  </si>
  <si>
    <t xml:space="preserve">santre              </t>
  </si>
  <si>
    <t xml:space="preserve">aibrey              </t>
  </si>
  <si>
    <t xml:space="preserve">elton               </t>
  </si>
  <si>
    <t xml:space="preserve">Mariunus            </t>
  </si>
  <si>
    <t xml:space="preserve">rochelle            </t>
  </si>
  <si>
    <t xml:space="preserve">THENBEZA            </t>
  </si>
  <si>
    <t xml:space="preserve">PRSICILLA           </t>
  </si>
  <si>
    <t xml:space="preserve">MOJALEFA            </t>
  </si>
  <si>
    <t xml:space="preserve">NOLISIZWE           </t>
  </si>
  <si>
    <t xml:space="preserve">NOLZWAIZ            </t>
  </si>
  <si>
    <t xml:space="preserve">sendidie            </t>
  </si>
  <si>
    <t xml:space="preserve">MANDEKA             </t>
  </si>
  <si>
    <t xml:space="preserve">abbas               </t>
  </si>
  <si>
    <t xml:space="preserve">vincenbt            </t>
  </si>
  <si>
    <t>PG BISON A DIV OF KA</t>
  </si>
  <si>
    <t xml:space="preserve">ZAKIA               </t>
  </si>
  <si>
    <t xml:space="preserve">VUKANI              </t>
  </si>
  <si>
    <t xml:space="preserve">CROSSLEY HOLDINGS   </t>
  </si>
  <si>
    <t xml:space="preserve">shela               </t>
  </si>
  <si>
    <t xml:space="preserve">beytel              </t>
  </si>
  <si>
    <t xml:space="preserve">C Damon             </t>
  </si>
  <si>
    <t xml:space="preserve">IRENE               </t>
  </si>
  <si>
    <t xml:space="preserve">nzama               </t>
  </si>
  <si>
    <t xml:space="preserve">khanya              </t>
  </si>
  <si>
    <t xml:space="preserve">bongani             </t>
  </si>
  <si>
    <t xml:space="preserve">susan               </t>
  </si>
  <si>
    <t xml:space="preserve">MLU                 </t>
  </si>
  <si>
    <t xml:space="preserve">shakirt             </t>
  </si>
  <si>
    <t xml:space="preserve">tshogofatso         </t>
  </si>
  <si>
    <t>GONUBIE</t>
  </si>
  <si>
    <t xml:space="preserve">TITUS CONSULTING Cc </t>
  </si>
  <si>
    <t xml:space="preserve">SHAUN               </t>
  </si>
  <si>
    <t xml:space="preserve">YCONNE              </t>
  </si>
  <si>
    <t>DOUGLASDALE DAIRY PT</t>
  </si>
  <si>
    <t xml:space="preserve">ABRAM               </t>
  </si>
  <si>
    <t xml:space="preserve">RISHABA TRADING CC  </t>
  </si>
  <si>
    <t xml:space="preserve">NAIDOO              </t>
  </si>
  <si>
    <t xml:space="preserve">mahlatse            </t>
  </si>
  <si>
    <t xml:space="preserve">SKYNET SOUTH AFRICA </t>
  </si>
  <si>
    <t xml:space="preserve">grace               </t>
  </si>
  <si>
    <t>GUD Holdings (Pty) L</t>
  </si>
  <si>
    <t xml:space="preserve">pretty              </t>
  </si>
  <si>
    <t xml:space="preserve">ANDREW MENTIS PTY   </t>
  </si>
  <si>
    <t xml:space="preserve">sillas              </t>
  </si>
  <si>
    <t xml:space="preserve">MICAELA             </t>
  </si>
  <si>
    <t xml:space="preserve">JACOBZ              </t>
  </si>
  <si>
    <t xml:space="preserve">yolanda             </t>
  </si>
  <si>
    <t xml:space="preserve">JOHAN               </t>
  </si>
  <si>
    <t xml:space="preserve">ANANDI              </t>
  </si>
  <si>
    <t>THOHOYANDOU</t>
  </si>
  <si>
    <t xml:space="preserve">margaret            </t>
  </si>
  <si>
    <t xml:space="preserve">DAVIE               </t>
  </si>
  <si>
    <t xml:space="preserve">ben                 </t>
  </si>
  <si>
    <t xml:space="preserve">simangaaliso        </t>
  </si>
  <si>
    <t>ENTERPRISE FOOD AN D</t>
  </si>
  <si>
    <t xml:space="preserve">jerome              </t>
  </si>
  <si>
    <t xml:space="preserve">SHELDOB             </t>
  </si>
  <si>
    <t xml:space="preserve">jowl                </t>
  </si>
  <si>
    <t xml:space="preserve">simanga             </t>
  </si>
  <si>
    <t xml:space="preserve">nivi                </t>
  </si>
  <si>
    <t xml:space="preserve">SNEDUO              </t>
  </si>
  <si>
    <t xml:space="preserve">YBONNE              </t>
  </si>
  <si>
    <t>WESTONARIA</t>
  </si>
  <si>
    <t>RUBICON PCC  AUTOMAT</t>
  </si>
  <si>
    <t xml:space="preserve">SINGISI FOREST      </t>
  </si>
  <si>
    <t xml:space="preserve">gebn                </t>
  </si>
  <si>
    <t xml:space="preserve">festo               </t>
  </si>
  <si>
    <t xml:space="preserve">AMETIS PROJECTS CC  </t>
  </si>
  <si>
    <t xml:space="preserve">FILQUIP DESING      </t>
  </si>
  <si>
    <t>ELECTRO MECH SERVICE</t>
  </si>
  <si>
    <t xml:space="preserve">RENE                </t>
  </si>
  <si>
    <t xml:space="preserve">FOODSERV SOLUTIONS  </t>
  </si>
  <si>
    <t>PREMIER CAPE TOWN WH</t>
  </si>
  <si>
    <t xml:space="preserve">Salim               </t>
  </si>
  <si>
    <t xml:space="preserve">PRAYS               </t>
  </si>
  <si>
    <t>MUDI APPLIEDTECHNOLO</t>
  </si>
  <si>
    <t xml:space="preserve">dan                 </t>
  </si>
  <si>
    <t xml:space="preserve">Marinus             </t>
  </si>
  <si>
    <t xml:space="preserve">marni               </t>
  </si>
  <si>
    <t xml:space="preserve">sinamnga            </t>
  </si>
  <si>
    <t xml:space="preserve">NOLWAZI             </t>
  </si>
  <si>
    <t xml:space="preserve">west                </t>
  </si>
  <si>
    <t xml:space="preserve">AGV MANAGEMENT      </t>
  </si>
  <si>
    <t xml:space="preserve">simnga              </t>
  </si>
  <si>
    <t xml:space="preserve">UTI JET PARK        </t>
  </si>
  <si>
    <t xml:space="preserve">JOHANDRE            </t>
  </si>
  <si>
    <t xml:space="preserve">kain                </t>
  </si>
  <si>
    <t xml:space="preserve">f roux              </t>
  </si>
  <si>
    <t xml:space="preserve">bukelwa             </t>
  </si>
  <si>
    <t xml:space="preserve">Petrus              </t>
  </si>
  <si>
    <t xml:space="preserve">misa                </t>
  </si>
  <si>
    <t>MISTER SWEET PTY LTD</t>
  </si>
  <si>
    <t xml:space="preserve">ellen               </t>
  </si>
  <si>
    <t xml:space="preserve">morne               </t>
  </si>
  <si>
    <t xml:space="preserve">rachel              </t>
  </si>
  <si>
    <t xml:space="preserve">STOREQUIP (PTY)LTD  </t>
  </si>
  <si>
    <t>MPACT OPERATIONS (PT</t>
  </si>
  <si>
    <t xml:space="preserve">klaas               </t>
  </si>
  <si>
    <t xml:space="preserve">jaimal              </t>
  </si>
  <si>
    <t xml:space="preserve">william             </t>
  </si>
  <si>
    <t xml:space="preserve">BARRACUDA HOLDINGS  </t>
  </si>
  <si>
    <t xml:space="preserve">ALLESTER            </t>
  </si>
  <si>
    <t>ASSOCIATED ENERGY SE</t>
  </si>
  <si>
    <t xml:space="preserve">LEBOGANG            </t>
  </si>
  <si>
    <t xml:space="preserve">TREVOR              </t>
  </si>
  <si>
    <t xml:space="preserve">SASOL CHEMICALS SA  </t>
  </si>
  <si>
    <t xml:space="preserve">JOHN                </t>
  </si>
  <si>
    <t>AUTOMA MULTI STYRENE</t>
  </si>
  <si>
    <t xml:space="preserve">jeanette            </t>
  </si>
  <si>
    <t xml:space="preserve">willem              </t>
  </si>
  <si>
    <t>COCA-COALA PENINSULA</t>
  </si>
  <si>
    <t xml:space="preserve">ANTHEA              </t>
  </si>
  <si>
    <t>AUTOMATION WORKS CAP</t>
  </si>
  <si>
    <t xml:space="preserve">LINDI               </t>
  </si>
  <si>
    <t xml:space="preserve">STEELCRAFT          </t>
  </si>
  <si>
    <t xml:space="preserve">LOUIS               </t>
  </si>
  <si>
    <t>PRIDE MILLING CO PTY</t>
  </si>
  <si>
    <t xml:space="preserve">danker              </t>
  </si>
  <si>
    <t xml:space="preserve">alicia              </t>
  </si>
  <si>
    <t xml:space="preserve">stoltz              </t>
  </si>
  <si>
    <t xml:space="preserve">NICHOLAS            </t>
  </si>
  <si>
    <t xml:space="preserve">sugan               </t>
  </si>
  <si>
    <t>FELTEX AUTOMOTIVE DI</t>
  </si>
  <si>
    <t xml:space="preserve">ashveer             </t>
  </si>
  <si>
    <t>NNN</t>
  </si>
  <si>
    <t xml:space="preserve">IRITRON (PTY)LTD    </t>
  </si>
  <si>
    <t xml:space="preserve">charles             </t>
  </si>
  <si>
    <t xml:space="preserve">ATELIER SA PTY LTD  </t>
  </si>
  <si>
    <t xml:space="preserve">marenique           </t>
  </si>
  <si>
    <t xml:space="preserve">christiaan          </t>
  </si>
  <si>
    <t xml:space="preserve">louisan             </t>
  </si>
  <si>
    <t xml:space="preserve">NOMA                </t>
  </si>
  <si>
    <t xml:space="preserve">v posthumus         </t>
  </si>
  <si>
    <t xml:space="preserve">SANDY               </t>
  </si>
  <si>
    <t xml:space="preserve">CIRCUIT DISTR       </t>
  </si>
  <si>
    <t xml:space="preserve">NU                  </t>
  </si>
  <si>
    <t>PIET RETIEF</t>
  </si>
  <si>
    <t>PUMPS   TRANSMISSION</t>
  </si>
  <si>
    <t xml:space="preserve">CYRIL               </t>
  </si>
  <si>
    <t>PREMIER FMCG (PTY)LT</t>
  </si>
  <si>
    <t xml:space="preserve">JOSEPH              </t>
  </si>
  <si>
    <t xml:space="preserve">ina smith           </t>
  </si>
  <si>
    <t xml:space="preserve">KARABO              </t>
  </si>
  <si>
    <t xml:space="preserve">hest                </t>
  </si>
  <si>
    <t xml:space="preserve">lawrence            </t>
  </si>
  <si>
    <t xml:space="preserve">njhai               </t>
  </si>
  <si>
    <t>STOFFBERG</t>
  </si>
  <si>
    <t>M-PULSE INSTRUMENTAT</t>
  </si>
  <si>
    <t xml:space="preserve">ATLANTIS FOUNDRY    </t>
  </si>
  <si>
    <t xml:space="preserve">BIC SA PTY LTD      </t>
  </si>
  <si>
    <t xml:space="preserve">nelly               </t>
  </si>
  <si>
    <t xml:space="preserve">NUMATICS KNZ        </t>
  </si>
  <si>
    <t xml:space="preserve">NATHI               </t>
  </si>
  <si>
    <t xml:space="preserve">lovisan             </t>
  </si>
  <si>
    <t xml:space="preserve">KERIN               </t>
  </si>
  <si>
    <t xml:space="preserve">mpho                </t>
  </si>
  <si>
    <t xml:space="preserve">lowrence            </t>
  </si>
  <si>
    <t xml:space="preserve">CHRIS               </t>
  </si>
  <si>
    <t xml:space="preserve">MALENE              </t>
  </si>
  <si>
    <t xml:space="preserve">templeton           </t>
  </si>
  <si>
    <t>21/10/2020</t>
  </si>
  <si>
    <t xml:space="preserve">JESSOP   ASSOCIATES </t>
  </si>
  <si>
    <t xml:space="preserve">WISEMAN             </t>
  </si>
  <si>
    <t>FLEX -IT ENGINEERING</t>
  </si>
  <si>
    <t xml:space="preserve">ROBIN               </t>
  </si>
  <si>
    <t xml:space="preserve">ZULAIGHA            </t>
  </si>
  <si>
    <t xml:space="preserve">blou                </t>
  </si>
  <si>
    <t xml:space="preserve">NICOHLAS            </t>
  </si>
  <si>
    <t xml:space="preserve">KUEHNE NAGEL        </t>
  </si>
  <si>
    <t xml:space="preserve">ADMUSSION           </t>
  </si>
  <si>
    <t xml:space="preserve">J STEYN             </t>
  </si>
  <si>
    <t xml:space="preserve">robby               </t>
  </si>
  <si>
    <t xml:space="preserve">rubby               </t>
  </si>
  <si>
    <t xml:space="preserve">pieter              </t>
  </si>
  <si>
    <t xml:space="preserve">christian           </t>
  </si>
  <si>
    <t xml:space="preserve">BOULES              </t>
  </si>
  <si>
    <t xml:space="preserve">R DLAMINI           </t>
  </si>
  <si>
    <t xml:space="preserve">john                </t>
  </si>
  <si>
    <t xml:space="preserve">blommeck            </t>
  </si>
  <si>
    <t xml:space="preserve">lebo                </t>
  </si>
  <si>
    <t xml:space="preserve">MECHANEER CC        </t>
  </si>
  <si>
    <t xml:space="preserve">WYNE                </t>
  </si>
  <si>
    <t xml:space="preserve">RONALO              </t>
  </si>
  <si>
    <t xml:space="preserve">MTHUSPU             </t>
  </si>
  <si>
    <t xml:space="preserve">ilage               </t>
  </si>
  <si>
    <t xml:space="preserve">ECTON               </t>
  </si>
  <si>
    <t>KARMA INSTRUMENTATIO</t>
  </si>
  <si>
    <t xml:space="preserve">VIDEX WIRE PRODUCTS </t>
  </si>
  <si>
    <t xml:space="preserve">hesrt               </t>
  </si>
  <si>
    <t>MULTOTEC WEAR LINING</t>
  </si>
  <si>
    <t>FOXTEC-IKHWEZI PTY L</t>
  </si>
  <si>
    <t xml:space="preserve">FINE CHEMICALS CORP </t>
  </si>
  <si>
    <t>INDIGO BRANDS (PTY)L</t>
  </si>
  <si>
    <t>PIONEER FOOD PTY LTD</t>
  </si>
  <si>
    <t xml:space="preserve">J F EQUIPMENT       </t>
  </si>
  <si>
    <t xml:space="preserve">CREDE OILS          </t>
  </si>
  <si>
    <t xml:space="preserve">INDECON CC          </t>
  </si>
  <si>
    <t>TKZ TRADING   GENERA</t>
  </si>
  <si>
    <t>LEVINO CONSTULTING A</t>
  </si>
  <si>
    <t xml:space="preserve">TECHNICRETE ISG     </t>
  </si>
  <si>
    <t>TONGAAT</t>
  </si>
  <si>
    <t xml:space="preserve">CONLOG (PTY) LTD    </t>
  </si>
  <si>
    <t>ELECTROSALES ELECTRI</t>
  </si>
  <si>
    <t xml:space="preserve">LABOLINK Cc         </t>
  </si>
  <si>
    <t>PIETERSBURG</t>
  </si>
  <si>
    <t xml:space="preserve">CPC STSTEMS CC      </t>
  </si>
  <si>
    <t>CONTINENTAL BISCUITS</t>
  </si>
  <si>
    <t xml:space="preserve">CEREBOS LTD         </t>
  </si>
  <si>
    <t>CORRUSEAL CORRUGATED</t>
  </si>
  <si>
    <t>randal</t>
  </si>
  <si>
    <t>n daluka</t>
  </si>
  <si>
    <t>huashed</t>
  </si>
  <si>
    <t>THANDO</t>
  </si>
  <si>
    <t>rose</t>
  </si>
  <si>
    <t>kerusha</t>
  </si>
  <si>
    <t>ECTON</t>
  </si>
  <si>
    <t>TARRYN</t>
  </si>
  <si>
    <t>NOMTSETSE</t>
  </si>
  <si>
    <t>GRANT</t>
  </si>
  <si>
    <t>Sandisile</t>
  </si>
  <si>
    <t>dandre</t>
  </si>
  <si>
    <t>bheki</t>
  </si>
  <si>
    <t>MZIMASI</t>
  </si>
  <si>
    <t>ALETHEA</t>
  </si>
  <si>
    <t>A WITBOOI</t>
  </si>
  <si>
    <t>DELETED OFF SYSTEM</t>
  </si>
  <si>
    <t>john</t>
  </si>
  <si>
    <t>vukile</t>
  </si>
  <si>
    <t xml:space="preserve">r.booysen           </t>
  </si>
  <si>
    <t xml:space="preserve">Amanda van Zyl      </t>
  </si>
  <si>
    <t xml:space="preserve">N FOURIE            </t>
  </si>
  <si>
    <t xml:space="preserve">PETRUS              </t>
  </si>
  <si>
    <t xml:space="preserve">ROSHWIN             </t>
  </si>
  <si>
    <t xml:space="preserve">SABUL               </t>
  </si>
  <si>
    <t xml:space="preserve">DANNY               </t>
  </si>
  <si>
    <t xml:space="preserve">EVETTE              </t>
  </si>
  <si>
    <t xml:space="preserve">NATALIE             </t>
  </si>
  <si>
    <t xml:space="preserve">MPHO                </t>
  </si>
  <si>
    <t xml:space="preserve">REON                </t>
  </si>
  <si>
    <t xml:space="preserve">alpheus             </t>
  </si>
  <si>
    <t xml:space="preserve">SIPHO               </t>
  </si>
  <si>
    <t xml:space="preserve">regina              </t>
  </si>
  <si>
    <t xml:space="preserve">fest                </t>
  </si>
  <si>
    <t xml:space="preserve">Rodney              </t>
  </si>
  <si>
    <t xml:space="preserve">TANYA               </t>
  </si>
  <si>
    <t xml:space="preserve">werner              </t>
  </si>
  <si>
    <t xml:space="preserve">NAVIN               </t>
  </si>
  <si>
    <t xml:space="preserve">Niki                </t>
  </si>
  <si>
    <t xml:space="preserve">NA VIN              </t>
  </si>
  <si>
    <t xml:space="preserve">KEVIN               </t>
  </si>
  <si>
    <t xml:space="preserve">LANOR               </t>
  </si>
  <si>
    <t xml:space="preserve">Ronaldo             </t>
  </si>
  <si>
    <t xml:space="preserve">SIBUSISO            </t>
  </si>
  <si>
    <t xml:space="preserve">GQALI               </t>
  </si>
  <si>
    <t xml:space="preserve">GEORGE              </t>
  </si>
  <si>
    <t xml:space="preserve">chanta              </t>
  </si>
  <si>
    <t xml:space="preserve">ryan                </t>
  </si>
  <si>
    <t xml:space="preserve">mduduzi             </t>
  </si>
  <si>
    <t xml:space="preserve">LAWRENCE            </t>
  </si>
  <si>
    <t xml:space="preserve">Allison             </t>
  </si>
  <si>
    <t xml:space="preserve">PAULINE             </t>
  </si>
  <si>
    <t xml:space="preserve">DEWALD              </t>
  </si>
  <si>
    <t xml:space="preserve">WILFRED             </t>
  </si>
  <si>
    <t xml:space="preserve">Salman              </t>
  </si>
  <si>
    <t xml:space="preserve">Fundi               </t>
  </si>
  <si>
    <t xml:space="preserve">LERATO              </t>
  </si>
  <si>
    <t xml:space="preserve">BULELWA             </t>
  </si>
  <si>
    <t xml:space="preserve">Regan               </t>
  </si>
  <si>
    <t xml:space="preserve">gwemn               </t>
  </si>
  <si>
    <t xml:space="preserve">nadine              </t>
  </si>
  <si>
    <t xml:space="preserve">BUKELWA             </t>
  </si>
  <si>
    <t xml:space="preserve">EWEN SIM            </t>
  </si>
  <si>
    <t xml:space="preserve">W FIELIES           </t>
  </si>
  <si>
    <t xml:space="preserve">SANNA               </t>
  </si>
  <si>
    <t xml:space="preserve">FUNEKA              </t>
  </si>
  <si>
    <t xml:space="preserve">Vukani              </t>
  </si>
  <si>
    <t xml:space="preserve">FATIMA              </t>
  </si>
  <si>
    <t xml:space="preserve">Kurt                </t>
  </si>
  <si>
    <t xml:space="preserve">j stap              </t>
  </si>
  <si>
    <t xml:space="preserve">luper               </t>
  </si>
  <si>
    <t xml:space="preserve">PAMELA              </t>
  </si>
  <si>
    <t xml:space="preserve">GUGU                </t>
  </si>
  <si>
    <t xml:space="preserve">Reinhard            </t>
  </si>
  <si>
    <t xml:space="preserve">MANDLA              </t>
  </si>
  <si>
    <t xml:space="preserve">k glwabaza          </t>
  </si>
  <si>
    <t xml:space="preserve">shakie              </t>
  </si>
  <si>
    <t xml:space="preserve">sueanne             </t>
  </si>
  <si>
    <t xml:space="preserve">MOHAMMED            </t>
  </si>
  <si>
    <t xml:space="preserve">STAMPD              </t>
  </si>
  <si>
    <t xml:space="preserve">sodaladlaq          </t>
  </si>
  <si>
    <t xml:space="preserve">KISHEN              </t>
  </si>
  <si>
    <t xml:space="preserve">stela               </t>
  </si>
  <si>
    <t xml:space="preserve">ENGELA              </t>
  </si>
  <si>
    <t xml:space="preserve">c lulidali          </t>
  </si>
  <si>
    <t xml:space="preserve">KISARA              </t>
  </si>
  <si>
    <t>22/10/2020</t>
  </si>
  <si>
    <t xml:space="preserve">NARE                </t>
  </si>
  <si>
    <t xml:space="preserve">SANAH               </t>
  </si>
  <si>
    <t xml:space="preserve">PORTIA              </t>
  </si>
  <si>
    <t xml:space="preserve">MARENI              </t>
  </si>
  <si>
    <t xml:space="preserve">babsie              </t>
  </si>
  <si>
    <t xml:space="preserve">THABANG             </t>
  </si>
  <si>
    <t xml:space="preserve">Floyd               </t>
  </si>
  <si>
    <t xml:space="preserve">SMANGA              </t>
  </si>
  <si>
    <t xml:space="preserve">TENDAI              </t>
  </si>
  <si>
    <t xml:space="preserve">mesil               </t>
  </si>
  <si>
    <t xml:space="preserve">CHANTEL             </t>
  </si>
  <si>
    <t xml:space="preserve">a duncan            </t>
  </si>
  <si>
    <t xml:space="preserve">weswt               </t>
  </si>
  <si>
    <t xml:space="preserve">DLAMINI             </t>
  </si>
  <si>
    <t xml:space="preserve">ELNA                </t>
  </si>
  <si>
    <t xml:space="preserve">LEON                </t>
  </si>
  <si>
    <t xml:space="preserve">SANTIE              </t>
  </si>
  <si>
    <t xml:space="preserve">Cedric 9 20         </t>
  </si>
  <si>
    <t xml:space="preserve">LINDA               </t>
  </si>
  <si>
    <t xml:space="preserve">Obie                </t>
  </si>
  <si>
    <t xml:space="preserve">Lindsay             </t>
  </si>
  <si>
    <t xml:space="preserve">sign                </t>
  </si>
  <si>
    <t xml:space="preserve">justine             </t>
  </si>
  <si>
    <t xml:space="preserve">akhana              </t>
  </si>
  <si>
    <t xml:space="preserve">KURT                </t>
  </si>
  <si>
    <t xml:space="preserve">frest               </t>
  </si>
  <si>
    <t xml:space="preserve">werst               </t>
  </si>
  <si>
    <t xml:space="preserve">PHUMEZA             </t>
  </si>
  <si>
    <t xml:space="preserve">fikeile             </t>
  </si>
  <si>
    <t xml:space="preserve">PRAGA TECHNICAL PTY </t>
  </si>
  <si>
    <t xml:space="preserve">NOTHILE             </t>
  </si>
  <si>
    <t xml:space="preserve">ALPLA PACKAGING SA  </t>
  </si>
  <si>
    <t>OFFSET PRESS SUPPLIE</t>
  </si>
  <si>
    <t xml:space="preserve">TUPPERWARE SA       </t>
  </si>
  <si>
    <t>LITTLE GREEN BEVERAG</t>
  </si>
  <si>
    <t xml:space="preserve">MICRODENT TECHOLOGY </t>
  </si>
  <si>
    <t xml:space="preserve">CONTROL SYSTEMS     </t>
  </si>
  <si>
    <t>KABO KWABELA SUPPLIE</t>
  </si>
  <si>
    <t>UMGENI WATER PINETOW</t>
  </si>
  <si>
    <t xml:space="preserve">blessing            </t>
  </si>
  <si>
    <t xml:space="preserve">BEST TOBACO CAMPANY </t>
  </si>
  <si>
    <t>IPEX MACHINERY DIV O</t>
  </si>
  <si>
    <t xml:space="preserve">HOLLER TRADE CC     </t>
  </si>
  <si>
    <t xml:space="preserve">ZOOMARATI           </t>
  </si>
  <si>
    <t>ARB ELECTRICAL WHOLE</t>
  </si>
  <si>
    <t>PHARMACHEM LABORATOR</t>
  </si>
  <si>
    <t xml:space="preserve">ROBIN COSS AVIATION </t>
  </si>
  <si>
    <t>DAVITA TRADING PTY L</t>
  </si>
  <si>
    <t>STEELWOOD INTERNATIO</t>
  </si>
  <si>
    <t>BAILEYS PEGS 2000 PT</t>
  </si>
  <si>
    <t>HUHTAMAKI DIV FLEXIB</t>
  </si>
  <si>
    <t xml:space="preserve">CTP PRINTERS CPT    </t>
  </si>
  <si>
    <t>INNOVATIVE WATER CAR</t>
  </si>
  <si>
    <t>PRODUCTIVE ENGINEERI</t>
  </si>
  <si>
    <t>S.C. JOHNSON   SON S</t>
  </si>
  <si>
    <t>SPERO SENSORS   INST</t>
  </si>
  <si>
    <t>TILODI ENGINEERING (</t>
  </si>
  <si>
    <t>AL S PROJECTS SPECIA</t>
  </si>
  <si>
    <t>KDP HYDRAULIC SERVIC</t>
  </si>
  <si>
    <t>POTCHEFSTROOM</t>
  </si>
  <si>
    <t xml:space="preserve">VESCOTECH           </t>
  </si>
  <si>
    <t xml:space="preserve">SPIRAX SARCO SA     </t>
  </si>
  <si>
    <t xml:space="preserve">WOOL TESTING BUREAU </t>
  </si>
  <si>
    <t>TEC INDUSTRIAL (PTY)</t>
  </si>
  <si>
    <t xml:space="preserve">r booysen           </t>
  </si>
  <si>
    <t xml:space="preserve">JACOB               </t>
  </si>
  <si>
    <t xml:space="preserve">A NEL               </t>
  </si>
  <si>
    <t xml:space="preserve">JANINE REYNEKE      </t>
  </si>
  <si>
    <t xml:space="preserve">NTOMBI              </t>
  </si>
  <si>
    <t xml:space="preserve">Abisai              </t>
  </si>
  <si>
    <t xml:space="preserve">NOEL                </t>
  </si>
  <si>
    <t>23/10/2020</t>
  </si>
  <si>
    <t xml:space="preserve">RANDALL             </t>
  </si>
  <si>
    <t xml:space="preserve">Andri               </t>
  </si>
  <si>
    <t xml:space="preserve">l wilex             </t>
  </si>
  <si>
    <t xml:space="preserve">Mafoke              </t>
  </si>
  <si>
    <t xml:space="preserve">jose                </t>
  </si>
  <si>
    <t xml:space="preserve">THERESA             </t>
  </si>
  <si>
    <t xml:space="preserve">Tinus               </t>
  </si>
  <si>
    <t xml:space="preserve">Monique             </t>
  </si>
  <si>
    <t xml:space="preserve">Leoni               </t>
  </si>
  <si>
    <t xml:space="preserve">Sam                 </t>
  </si>
  <si>
    <t xml:space="preserve"> Clinton            </t>
  </si>
  <si>
    <t xml:space="preserve">Anthony             </t>
  </si>
  <si>
    <t xml:space="preserve">Desire              </t>
  </si>
  <si>
    <t xml:space="preserve">Willie              </t>
  </si>
  <si>
    <t xml:space="preserve">THOBEJANE           </t>
  </si>
  <si>
    <t xml:space="preserve">Piki                </t>
  </si>
  <si>
    <t xml:space="preserve">lucky               </t>
  </si>
  <si>
    <t xml:space="preserve">Riaan               </t>
  </si>
  <si>
    <t xml:space="preserve">rosina              </t>
  </si>
  <si>
    <t xml:space="preserve">mashudu             </t>
  </si>
  <si>
    <t xml:space="preserve">seun                </t>
  </si>
  <si>
    <t xml:space="preserve">Bango               </t>
  </si>
  <si>
    <t xml:space="preserve">Carlos              </t>
  </si>
  <si>
    <t xml:space="preserve">Gcobisa             </t>
  </si>
  <si>
    <t xml:space="preserve">grovos              </t>
  </si>
  <si>
    <t xml:space="preserve">Dellin              </t>
  </si>
  <si>
    <t xml:space="preserve">Raphael             </t>
  </si>
  <si>
    <t xml:space="preserve">jade                </t>
  </si>
  <si>
    <t xml:space="preserve">YUSUF               </t>
  </si>
  <si>
    <t xml:space="preserve">mandy               </t>
  </si>
  <si>
    <t xml:space="preserve">Moses               </t>
  </si>
  <si>
    <t xml:space="preserve">savid               </t>
  </si>
  <si>
    <t xml:space="preserve">Mandla              </t>
  </si>
  <si>
    <t xml:space="preserve">cedric 10 08        </t>
  </si>
  <si>
    <t xml:space="preserve">Lucky               </t>
  </si>
  <si>
    <t xml:space="preserve">hazel               </t>
  </si>
  <si>
    <t xml:space="preserve">wagre               </t>
  </si>
  <si>
    <t xml:space="preserve">Dalter              </t>
  </si>
  <si>
    <t xml:space="preserve">Arlene              </t>
  </si>
  <si>
    <t xml:space="preserve">Philip              </t>
  </si>
  <si>
    <t xml:space="preserve">Gordon              </t>
  </si>
  <si>
    <t xml:space="preserve">eugene              </t>
  </si>
  <si>
    <t xml:space="preserve">Pamela              </t>
  </si>
  <si>
    <t xml:space="preserve">MUSA                </t>
  </si>
  <si>
    <t xml:space="preserve">reece               </t>
  </si>
  <si>
    <t xml:space="preserve">Gabriel             </t>
  </si>
  <si>
    <t xml:space="preserve">Frans               </t>
  </si>
  <si>
    <t xml:space="preserve">jaro                </t>
  </si>
  <si>
    <t xml:space="preserve">richard             </t>
  </si>
  <si>
    <t xml:space="preserve">shannon             </t>
  </si>
  <si>
    <t xml:space="preserve">godfrey             </t>
  </si>
  <si>
    <t xml:space="preserve">sbongise            </t>
  </si>
  <si>
    <t xml:space="preserve">nomi                </t>
  </si>
  <si>
    <t xml:space="preserve">surpor              </t>
  </si>
  <si>
    <t xml:space="preserve">Lydia               </t>
  </si>
  <si>
    <t xml:space="preserve">Mosa                </t>
  </si>
  <si>
    <t xml:space="preserve">Ruben               </t>
  </si>
  <si>
    <t xml:space="preserve">BEANCA              </t>
  </si>
  <si>
    <t xml:space="preserve">Charlotte           </t>
  </si>
  <si>
    <t xml:space="preserve">CYNTHIA             </t>
  </si>
  <si>
    <t xml:space="preserve">Keroyl              </t>
  </si>
  <si>
    <t xml:space="preserve">joseph              </t>
  </si>
  <si>
    <t xml:space="preserve">riaan               </t>
  </si>
  <si>
    <t xml:space="preserve">Rachel              </t>
  </si>
  <si>
    <t>LYDENBURG</t>
  </si>
  <si>
    <t>SIBAMBENE MINING SUP</t>
  </si>
  <si>
    <t>CFW INDUSTRIES (PTY)</t>
  </si>
  <si>
    <t xml:space="preserve">MARCOM PLASTICS CC  </t>
  </si>
  <si>
    <t>DNH MANUFACTURING (P</t>
  </si>
  <si>
    <t>RICHMOND (NATAL)</t>
  </si>
  <si>
    <t xml:space="preserve">DARGLE WATER        </t>
  </si>
  <si>
    <t xml:space="preserve">PLEXIPHON 190 CC    </t>
  </si>
  <si>
    <t>4 BYTES AUTOMATION C</t>
  </si>
  <si>
    <t xml:space="preserve">J MARC ENGINEERING  </t>
  </si>
  <si>
    <t xml:space="preserve">VOLTEX PINETOWN PTY </t>
  </si>
  <si>
    <t>AUTO TRIM ROSSLYN AD</t>
  </si>
  <si>
    <t xml:space="preserve">charity             </t>
  </si>
  <si>
    <t xml:space="preserve">BMG New Germany     </t>
  </si>
  <si>
    <t xml:space="preserve">ATS 2000 PTY LTD    </t>
  </si>
  <si>
    <t xml:space="preserve">MARCE FIRE FIGHTING </t>
  </si>
  <si>
    <t xml:space="preserve">WEBBING PRODUCTS    </t>
  </si>
  <si>
    <t>QUEENSTOWN</t>
  </si>
  <si>
    <t xml:space="preserve">CRICKLEY DAIRY CC   </t>
  </si>
  <si>
    <t xml:space="preserve">SMT INDUSTRIAL CC   </t>
  </si>
  <si>
    <t>NISSAN SUID-AFRIKA (</t>
  </si>
  <si>
    <t xml:space="preserve">BME PACKAGING CC    </t>
  </si>
  <si>
    <t xml:space="preserve">EVRIGARD PTY LTD    </t>
  </si>
  <si>
    <t>WEST END CEMENT BRIC</t>
  </si>
  <si>
    <t>TOYOTA SA MOTORS PTY</t>
  </si>
  <si>
    <t xml:space="preserve">DARTCOM SA PTY LTD  </t>
  </si>
  <si>
    <t xml:space="preserve">KOLOR WORLD         </t>
  </si>
  <si>
    <t xml:space="preserve">BLANES INSTRUMENTS  </t>
  </si>
  <si>
    <t xml:space="preserve">AWESOME SNACKS      </t>
  </si>
  <si>
    <t xml:space="preserve">DRAKEWOODS          </t>
  </si>
  <si>
    <t xml:space="preserve">SolvPac (PTY )LTD   </t>
  </si>
  <si>
    <t>TDF PROJECTS   EQUIP</t>
  </si>
  <si>
    <t>DEFY APPLIANCES (PTY</t>
  </si>
  <si>
    <t xml:space="preserve">ANATECH             </t>
  </si>
  <si>
    <t xml:space="preserve">TRANSPACO FLEXIBLES </t>
  </si>
  <si>
    <t xml:space="preserve">TECHNOVAA PACKAGING </t>
  </si>
  <si>
    <t>Company closed</t>
  </si>
  <si>
    <t>NOMTSHENTSHE</t>
  </si>
  <si>
    <t>A V Niekerk</t>
  </si>
  <si>
    <t xml:space="preserve">I Adams             </t>
  </si>
  <si>
    <t xml:space="preserve">alfred              </t>
  </si>
  <si>
    <t xml:space="preserve">bongiwe             </t>
  </si>
  <si>
    <t xml:space="preserve">WILSON              </t>
  </si>
  <si>
    <t xml:space="preserve">Sedindia            </t>
  </si>
  <si>
    <t xml:space="preserve">deez                </t>
  </si>
  <si>
    <t xml:space="preserve">Aaron               </t>
  </si>
  <si>
    <t xml:space="preserve">Chai                </t>
  </si>
  <si>
    <t xml:space="preserve">Tryon               </t>
  </si>
  <si>
    <t xml:space="preserve">Respect             </t>
  </si>
  <si>
    <t xml:space="preserve">Nkilo               </t>
  </si>
  <si>
    <t xml:space="preserve">CIDNEY              </t>
  </si>
  <si>
    <t xml:space="preserve">anil                </t>
  </si>
  <si>
    <t xml:space="preserve">Conraid             </t>
  </si>
  <si>
    <t xml:space="preserve">kreden              </t>
  </si>
  <si>
    <t xml:space="preserve">RIMMAED             </t>
  </si>
  <si>
    <t xml:space="preserve">KARIN               </t>
  </si>
  <si>
    <t xml:space="preserve">eddie               </t>
  </si>
  <si>
    <t xml:space="preserve">Itumeleng           </t>
  </si>
  <si>
    <t xml:space="preserve">CELEB               </t>
  </si>
  <si>
    <t xml:space="preserve">pat                 </t>
  </si>
  <si>
    <t xml:space="preserve">mzondhle            </t>
  </si>
  <si>
    <t xml:space="preserve">zulaicha            </t>
  </si>
  <si>
    <t xml:space="preserve">amritha             </t>
  </si>
  <si>
    <t xml:space="preserve">larpie              </t>
  </si>
  <si>
    <t xml:space="preserve">Elton               </t>
  </si>
  <si>
    <t xml:space="preserve">lelakhe             </t>
  </si>
  <si>
    <t xml:space="preserve">Rico                </t>
  </si>
  <si>
    <t xml:space="preserve">shaid               </t>
  </si>
  <si>
    <t xml:space="preserve">WINNIE              </t>
  </si>
  <si>
    <t xml:space="preserve">nivesh 9 00         </t>
  </si>
  <si>
    <t xml:space="preserve">K A Molopo          </t>
  </si>
  <si>
    <t xml:space="preserve">Vincent             </t>
  </si>
  <si>
    <t xml:space="preserve">olebogeng           </t>
  </si>
  <si>
    <t xml:space="preserve">connie              </t>
  </si>
  <si>
    <t xml:space="preserve">allain              </t>
  </si>
  <si>
    <t xml:space="preserve">rhyno               </t>
  </si>
  <si>
    <t xml:space="preserve">Cynthia             </t>
  </si>
  <si>
    <t xml:space="preserve">sinaliswa           </t>
  </si>
  <si>
    <t xml:space="preserve">freda               </t>
  </si>
  <si>
    <t xml:space="preserve">syabonga            </t>
  </si>
  <si>
    <t xml:space="preserve">Henry               </t>
  </si>
  <si>
    <t xml:space="preserve">Clifford            </t>
  </si>
  <si>
    <t xml:space="preserve">sarah               </t>
  </si>
  <si>
    <t xml:space="preserve">phomeza             </t>
  </si>
  <si>
    <t xml:space="preserve">Sphume              </t>
  </si>
  <si>
    <t xml:space="preserve">mpumzi              </t>
  </si>
  <si>
    <t xml:space="preserve">Tenda               </t>
  </si>
  <si>
    <t xml:space="preserve">Rivo                </t>
  </si>
  <si>
    <t xml:space="preserve">SASH                </t>
  </si>
  <si>
    <t xml:space="preserve">Delin               </t>
  </si>
  <si>
    <t xml:space="preserve">LG lg               </t>
  </si>
  <si>
    <t xml:space="preserve">Siya                </t>
  </si>
  <si>
    <t xml:space="preserve">Jackie              </t>
  </si>
  <si>
    <t xml:space="preserve">Brian               </t>
  </si>
  <si>
    <t xml:space="preserve">ofentse             </t>
  </si>
  <si>
    <t xml:space="preserve">Wilfred             </t>
  </si>
  <si>
    <t xml:space="preserve">Hilda               </t>
  </si>
  <si>
    <t xml:space="preserve">Tess                </t>
  </si>
  <si>
    <t xml:space="preserve">Derrick             </t>
  </si>
  <si>
    <t xml:space="preserve">SAM                 </t>
  </si>
  <si>
    <t xml:space="preserve">welcome             </t>
  </si>
  <si>
    <t xml:space="preserve">LIHLE               </t>
  </si>
  <si>
    <t xml:space="preserve">petro               </t>
  </si>
  <si>
    <t xml:space="preserve">Vernon              </t>
  </si>
  <si>
    <t>26/10/2020</t>
  </si>
  <si>
    <t>COLUMBIT PTY  T A IN</t>
  </si>
  <si>
    <t xml:space="preserve">ARMOR AFRICA        </t>
  </si>
  <si>
    <t>GRINDING MEDIA SOUTH</t>
  </si>
  <si>
    <t xml:space="preserve">MA AUTOMOTIVE TOOL  </t>
  </si>
  <si>
    <t xml:space="preserve">POWER WORKS         </t>
  </si>
  <si>
    <t>MA CONSUME   MAINTEN</t>
  </si>
  <si>
    <t>MATO PRODUCTS PTY LT</t>
  </si>
  <si>
    <t>TELPRO MANAGEMANT (P</t>
  </si>
  <si>
    <t>ON1 - SAT</t>
  </si>
  <si>
    <t>SOUTH AFRICAN BUREAU</t>
  </si>
  <si>
    <t>MASHE TOURS   TRANSF</t>
  </si>
  <si>
    <t xml:space="preserve">ELCOMP PTY LTD      </t>
  </si>
  <si>
    <t>HEUNIS STEEL PTY LTD</t>
  </si>
  <si>
    <t>HERSOL MANUFACTURING</t>
  </si>
  <si>
    <t xml:space="preserve">J.V HIDROLIES BK    </t>
  </si>
  <si>
    <t xml:space="preserve">BIZ AFRIKA          </t>
  </si>
  <si>
    <t xml:space="preserve">BUCKLE PACKAGING    </t>
  </si>
  <si>
    <t xml:space="preserve">ASH RESOURCES       </t>
  </si>
  <si>
    <t>THIRD PARTY</t>
  </si>
  <si>
    <t>ALLETA</t>
  </si>
  <si>
    <t>r booysen</t>
  </si>
  <si>
    <t>24/10/2020</t>
  </si>
  <si>
    <t xml:space="preserve">Dani                </t>
  </si>
  <si>
    <t xml:space="preserve">tommy               </t>
  </si>
  <si>
    <t xml:space="preserve">RAYMOND             </t>
  </si>
  <si>
    <t xml:space="preserve">Charles             </t>
  </si>
  <si>
    <t xml:space="preserve">thorne              </t>
  </si>
  <si>
    <t xml:space="preserve">Dan                 </t>
  </si>
  <si>
    <t xml:space="preserve">marcus              </t>
  </si>
  <si>
    <t xml:space="preserve">M PAM               </t>
  </si>
  <si>
    <t xml:space="preserve">STAMPED             </t>
  </si>
  <si>
    <t xml:space="preserve">sajini              </t>
  </si>
  <si>
    <t xml:space="preserve">anelisa             </t>
  </si>
  <si>
    <t xml:space="preserve">ANDRE               </t>
  </si>
  <si>
    <t xml:space="preserve">Alfred              </t>
  </si>
  <si>
    <t xml:space="preserve">REQUE               </t>
  </si>
  <si>
    <t xml:space="preserve">Fred                </t>
  </si>
  <si>
    <t xml:space="preserve">barry               </t>
  </si>
  <si>
    <t xml:space="preserve">Anville             </t>
  </si>
  <si>
    <t xml:space="preserve">TRACEY              </t>
  </si>
  <si>
    <t xml:space="preserve">Barry               </t>
  </si>
  <si>
    <t xml:space="preserve">patrick             </t>
  </si>
  <si>
    <t xml:space="preserve">Chiedzala           </t>
  </si>
  <si>
    <t xml:space="preserve">Jacques             </t>
  </si>
  <si>
    <t xml:space="preserve">mavis moabelo       </t>
  </si>
  <si>
    <t xml:space="preserve">osborne             </t>
  </si>
  <si>
    <t xml:space="preserve">Zelma               </t>
  </si>
  <si>
    <t xml:space="preserve">mervin              </t>
  </si>
  <si>
    <t xml:space="preserve">j franois           </t>
  </si>
  <si>
    <t xml:space="preserve">Awena               </t>
  </si>
  <si>
    <t xml:space="preserve">Betty               </t>
  </si>
  <si>
    <t xml:space="preserve">lovedonia           </t>
  </si>
  <si>
    <t xml:space="preserve">joyce               </t>
  </si>
  <si>
    <t xml:space="preserve">gore                </t>
  </si>
  <si>
    <t xml:space="preserve">reagan              </t>
  </si>
  <si>
    <t xml:space="preserve">nomzi               </t>
  </si>
  <si>
    <t xml:space="preserve">mel                 </t>
  </si>
  <si>
    <t xml:space="preserve">G Perks             </t>
  </si>
  <si>
    <t>27/10/2020</t>
  </si>
  <si>
    <t xml:space="preserve">CASEY               </t>
  </si>
  <si>
    <t xml:space="preserve">SGNATURE            </t>
  </si>
  <si>
    <t xml:space="preserve">Reymond             </t>
  </si>
  <si>
    <t xml:space="preserve">Kavenesh            </t>
  </si>
  <si>
    <t>AUTOCAST SOUTH AFRIC</t>
  </si>
  <si>
    <t xml:space="preserve">TORNOCORE (PTY)LTD  </t>
  </si>
  <si>
    <t xml:space="preserve">FLOWROX PTY LTD     </t>
  </si>
  <si>
    <t xml:space="preserve">MELJO ENTERPRISES   </t>
  </si>
  <si>
    <t xml:space="preserve">LIQUID PLASTICS     </t>
  </si>
  <si>
    <t xml:space="preserve">ALTON               </t>
  </si>
  <si>
    <t xml:space="preserve">SASOL INFRACHEM     </t>
  </si>
  <si>
    <t xml:space="preserve">SPRAYMATE CC        </t>
  </si>
  <si>
    <t xml:space="preserve">SAPPI SA LTD        </t>
  </si>
  <si>
    <t>RCL FOOD CONSUMER PT</t>
  </si>
  <si>
    <t xml:space="preserve">HOT PLATINUM        </t>
  </si>
  <si>
    <t>PMD PACKAGING SYSTEM</t>
  </si>
  <si>
    <t xml:space="preserve">SAMSON CONTROLS     </t>
  </si>
  <si>
    <t>TRUDA SNACKS CAPE CC</t>
  </si>
  <si>
    <t>MITTAL STEEL SOUTH A</t>
  </si>
  <si>
    <t xml:space="preserve">SARCO               </t>
  </si>
  <si>
    <t>gert</t>
  </si>
  <si>
    <t>09H50</t>
  </si>
  <si>
    <t>Tom</t>
  </si>
  <si>
    <t>09H55</t>
  </si>
  <si>
    <t>3RD PARTY DELIVERY</t>
  </si>
  <si>
    <t>ronald</t>
  </si>
  <si>
    <t>09H30</t>
  </si>
  <si>
    <t>marcus</t>
  </si>
  <si>
    <t>09H22</t>
  </si>
  <si>
    <t>Mary</t>
  </si>
  <si>
    <t>09H15</t>
  </si>
  <si>
    <t>Shaun</t>
  </si>
  <si>
    <t>09H10</t>
  </si>
  <si>
    <t>Abdullah</t>
  </si>
  <si>
    <t>07H49</t>
  </si>
  <si>
    <t>Martin</t>
  </si>
  <si>
    <t>Lesley</t>
  </si>
  <si>
    <t>CHRISTO</t>
  </si>
  <si>
    <t>ILLEG</t>
  </si>
  <si>
    <t xml:space="preserve">                                   </t>
  </si>
  <si>
    <t xml:space="preserve">               </t>
  </si>
  <si>
    <t xml:space="preserve">RFES1162771516      </t>
  </si>
  <si>
    <t xml:space="preserve">dandre              </t>
  </si>
  <si>
    <t xml:space="preserve">tarryn              </t>
  </si>
  <si>
    <t xml:space="preserve">jika                </t>
  </si>
  <si>
    <t xml:space="preserve">asanda              </t>
  </si>
  <si>
    <t xml:space="preserve">francors            </t>
  </si>
  <si>
    <t xml:space="preserve">JIKA                </t>
  </si>
  <si>
    <t xml:space="preserve">J P Els             </t>
  </si>
  <si>
    <t xml:space="preserve">akhona              </t>
  </si>
  <si>
    <t xml:space="preserve">michael             </t>
  </si>
  <si>
    <t xml:space="preserve">Daniel              </t>
  </si>
  <si>
    <t xml:space="preserve">Bruce               </t>
  </si>
  <si>
    <t xml:space="preserve">Nauble              </t>
  </si>
  <si>
    <t xml:space="preserve">keagan 09 40        </t>
  </si>
  <si>
    <t xml:space="preserve">katlego             </t>
  </si>
  <si>
    <t xml:space="preserve">benny               </t>
  </si>
  <si>
    <t xml:space="preserve">Jarnine             </t>
  </si>
  <si>
    <t xml:space="preserve">Chiedza             </t>
  </si>
  <si>
    <t xml:space="preserve">bongi               </t>
  </si>
  <si>
    <t xml:space="preserve">Neven               </t>
  </si>
  <si>
    <t xml:space="preserve">PETRO               </t>
  </si>
  <si>
    <t xml:space="preserve">Sternberg           </t>
  </si>
  <si>
    <t xml:space="preserve">noza                </t>
  </si>
  <si>
    <t xml:space="preserve">Annah               </t>
  </si>
  <si>
    <t xml:space="preserve">Y BOTHA             </t>
  </si>
  <si>
    <t xml:space="preserve">Ntembeko            </t>
  </si>
  <si>
    <t xml:space="preserve">amos                </t>
  </si>
  <si>
    <t xml:space="preserve">nosipho             </t>
  </si>
  <si>
    <t xml:space="preserve">Joey                </t>
  </si>
  <si>
    <t xml:space="preserve">amina               </t>
  </si>
  <si>
    <t xml:space="preserve">Andre               </t>
  </si>
  <si>
    <t xml:space="preserve">Alonso              </t>
  </si>
  <si>
    <t xml:space="preserve">Tiaan               </t>
  </si>
  <si>
    <t xml:space="preserve">Santos              </t>
  </si>
  <si>
    <t xml:space="preserve">kim                 </t>
  </si>
  <si>
    <t xml:space="preserve">mabaso              </t>
  </si>
  <si>
    <t xml:space="preserve">leroy               </t>
  </si>
  <si>
    <t xml:space="preserve">Thabang             </t>
  </si>
  <si>
    <t xml:space="preserve">mike                </t>
  </si>
  <si>
    <t xml:space="preserve">lesley              </t>
  </si>
  <si>
    <t xml:space="preserve">Ruaan               </t>
  </si>
  <si>
    <t xml:space="preserve">BOIPELO             </t>
  </si>
  <si>
    <t xml:space="preserve">SHADRACK            </t>
  </si>
  <si>
    <t>28/10/2020</t>
  </si>
  <si>
    <t xml:space="preserve">GEA AFRICA          </t>
  </si>
  <si>
    <t xml:space="preserve">RICHMAN             </t>
  </si>
  <si>
    <t>EXPERSE A DIVISION O</t>
  </si>
  <si>
    <t>ZF LEMFORDER SA (PTY</t>
  </si>
  <si>
    <t>RUSBRO ENGINEERING W</t>
  </si>
  <si>
    <t xml:space="preserve">WYNLAND INGENEIURS  </t>
  </si>
  <si>
    <t xml:space="preserve">BAYER PTY LTD       </t>
  </si>
  <si>
    <t xml:space="preserve">SIME DARBY HUDSON   </t>
  </si>
  <si>
    <t xml:space="preserve">SABRIX PTY LTD      </t>
  </si>
  <si>
    <t xml:space="preserve">KIC SA PTY LTD      </t>
  </si>
  <si>
    <t xml:space="preserve">KLIP CONTROL        </t>
  </si>
  <si>
    <t xml:space="preserve">LEAR ELECTRICAL     </t>
  </si>
  <si>
    <t>NTIRISANO MINING SUP</t>
  </si>
  <si>
    <t xml:space="preserve">frida               </t>
  </si>
  <si>
    <t xml:space="preserve">NIORO PLASTICS      </t>
  </si>
  <si>
    <t>POTGIETERSRUS</t>
  </si>
  <si>
    <t>MATLHABA WA ITHABELA</t>
  </si>
  <si>
    <t>FELTEX AUTOMOTIVE TR</t>
  </si>
  <si>
    <t xml:space="preserve">nomonde             </t>
  </si>
  <si>
    <t xml:space="preserve">Lee                 </t>
  </si>
  <si>
    <t xml:space="preserve">MAPEI SA            </t>
  </si>
  <si>
    <t xml:space="preserve">C.A.G.E ENGENEERING </t>
  </si>
  <si>
    <t>ELECTRO FIELD SERVIC</t>
  </si>
  <si>
    <t>SIEMENS ENERGY (PTY)</t>
  </si>
  <si>
    <t xml:space="preserve">claudio             </t>
  </si>
  <si>
    <t>T   V HYDRAU- PNEUMA</t>
  </si>
  <si>
    <t>rhana</t>
  </si>
  <si>
    <t>RETURNED</t>
  </si>
  <si>
    <t>mandise</t>
  </si>
  <si>
    <t>HENNIE</t>
  </si>
  <si>
    <t>vukani</t>
  </si>
  <si>
    <t>ROBBY</t>
  </si>
  <si>
    <t>sugeshnee</t>
  </si>
  <si>
    <t xml:space="preserve">Blanes intruments   </t>
  </si>
  <si>
    <t xml:space="preserve">msindo              </t>
  </si>
  <si>
    <t xml:space="preserve">EL cloud            </t>
  </si>
  <si>
    <t xml:space="preserve">rocky               </t>
  </si>
  <si>
    <t xml:space="preserve">veliswa             </t>
  </si>
  <si>
    <t xml:space="preserve">bessie              </t>
  </si>
  <si>
    <t xml:space="preserve">THABO               </t>
  </si>
  <si>
    <t xml:space="preserve">bennert             </t>
  </si>
  <si>
    <t xml:space="preserve">Armo                </t>
  </si>
  <si>
    <t xml:space="preserve">maila               </t>
  </si>
  <si>
    <t xml:space="preserve">LESEGO              </t>
  </si>
  <si>
    <t xml:space="preserve">Mathee              </t>
  </si>
  <si>
    <t xml:space="preserve">m bothma            </t>
  </si>
  <si>
    <t xml:space="preserve">DIBUSE              </t>
  </si>
  <si>
    <t xml:space="preserve">THANDEKA            </t>
  </si>
  <si>
    <t xml:space="preserve">Yonda               </t>
  </si>
  <si>
    <t xml:space="preserve">MARAIS              </t>
  </si>
  <si>
    <t xml:space="preserve">wez wez             </t>
  </si>
  <si>
    <t xml:space="preserve">Antia               </t>
  </si>
  <si>
    <t xml:space="preserve">Marlin              </t>
  </si>
  <si>
    <t xml:space="preserve">Rene                </t>
  </si>
  <si>
    <t xml:space="preserve">KWANELE             </t>
  </si>
  <si>
    <t xml:space="preserve">Amina               </t>
  </si>
  <si>
    <t xml:space="preserve">chian               </t>
  </si>
  <si>
    <t xml:space="preserve">MISKY               </t>
  </si>
  <si>
    <t xml:space="preserve">Anie                </t>
  </si>
  <si>
    <t xml:space="preserve">MICHELLE            </t>
  </si>
  <si>
    <t xml:space="preserve">mojalefa            </t>
  </si>
  <si>
    <t xml:space="preserve">Sarah               </t>
  </si>
  <si>
    <t xml:space="preserve">rico                </t>
  </si>
  <si>
    <t xml:space="preserve">lwana               </t>
  </si>
  <si>
    <t xml:space="preserve">m botha             </t>
  </si>
  <si>
    <t xml:space="preserve">Bully               </t>
  </si>
  <si>
    <t xml:space="preserve">May                 </t>
  </si>
  <si>
    <t xml:space="preserve">Godfrey             </t>
  </si>
  <si>
    <t xml:space="preserve">ronne               </t>
  </si>
  <si>
    <t xml:space="preserve">CIARCK              </t>
  </si>
  <si>
    <t xml:space="preserve">pravin              </t>
  </si>
  <si>
    <t xml:space="preserve">CRAICK              </t>
  </si>
  <si>
    <t xml:space="preserve">simson              </t>
  </si>
  <si>
    <t>29/10/2020</t>
  </si>
  <si>
    <t xml:space="preserve">BUILD IT HARRISMITH </t>
  </si>
  <si>
    <t>TOYOTA SA MOTORS (PT</t>
  </si>
  <si>
    <t>HERMES  CONE $ SNACK</t>
  </si>
  <si>
    <t>HEINEKEN SOUTH AFRIC</t>
  </si>
  <si>
    <t>ADCOCK INGRAM HEALTH</t>
  </si>
  <si>
    <t xml:space="preserve">MERCEDES - BENZ S.A </t>
  </si>
  <si>
    <t>NORTH STAR INDUSTRIA</t>
  </si>
  <si>
    <t xml:space="preserve">MESCHTEC SERVISES   </t>
  </si>
  <si>
    <t>FLUID CONTROL SERVIC</t>
  </si>
  <si>
    <t>TONGAAT HULETT STARC</t>
  </si>
  <si>
    <t xml:space="preserve">GLENCAROL           </t>
  </si>
  <si>
    <t xml:space="preserve">ESKORT LTD          </t>
  </si>
  <si>
    <t xml:space="preserve">ROCBOLT TECHNOLGIES </t>
  </si>
  <si>
    <t xml:space="preserve">S.A.M.E WATER       </t>
  </si>
  <si>
    <t xml:space="preserve">J MEYER ENGINEERING </t>
  </si>
  <si>
    <t>SNYMAN  TOOL   DIE C</t>
  </si>
  <si>
    <t>TIGER FOOD BRANDS LI</t>
  </si>
  <si>
    <t xml:space="preserve">DYNAMIC SYSTEMS     </t>
  </si>
  <si>
    <t>CLIENT REFUSED DELIVERY</t>
  </si>
  <si>
    <t>SCANNED INTO CAGE</t>
  </si>
  <si>
    <t>Job</t>
  </si>
  <si>
    <t xml:space="preserve">THOMAS              </t>
  </si>
  <si>
    <t xml:space="preserve">Damson              </t>
  </si>
  <si>
    <t xml:space="preserve">Klassen             </t>
  </si>
  <si>
    <t xml:space="preserve">mome                </t>
  </si>
  <si>
    <t xml:space="preserve">thabile             </t>
  </si>
  <si>
    <t xml:space="preserve">MORIUS              </t>
  </si>
  <si>
    <t>30/10/2020</t>
  </si>
  <si>
    <t xml:space="preserve">soggie              </t>
  </si>
  <si>
    <t xml:space="preserve">koni albrecht       </t>
  </si>
  <si>
    <t xml:space="preserve">Luthando            </t>
  </si>
  <si>
    <t xml:space="preserve">CRACK               </t>
  </si>
  <si>
    <t xml:space="preserve">lea                 </t>
  </si>
  <si>
    <t xml:space="preserve">AFRIKA              </t>
  </si>
  <si>
    <t xml:space="preserve">miesel              </t>
  </si>
  <si>
    <t xml:space="preserve">nivesh 09 25        </t>
  </si>
  <si>
    <t xml:space="preserve">jarrad              </t>
  </si>
  <si>
    <t xml:space="preserve">KUBEN               </t>
  </si>
  <si>
    <t xml:space="preserve">graene              </t>
  </si>
  <si>
    <t xml:space="preserve">Fraser              </t>
  </si>
  <si>
    <t xml:space="preserve">J LUTZELLER         </t>
  </si>
  <si>
    <t xml:space="preserve">mandosi             </t>
  </si>
  <si>
    <t xml:space="preserve">tracy               </t>
  </si>
  <si>
    <t xml:space="preserve">SASN                </t>
  </si>
  <si>
    <t xml:space="preserve">LUKE                </t>
  </si>
  <si>
    <t xml:space="preserve">Triston             </t>
  </si>
  <si>
    <t xml:space="preserve">Nicc                </t>
  </si>
  <si>
    <t xml:space="preserve">marfaret            </t>
  </si>
  <si>
    <t xml:space="preserve">Rocky               </t>
  </si>
  <si>
    <t xml:space="preserve">Montell             </t>
  </si>
  <si>
    <t xml:space="preserve">joel jp             </t>
  </si>
  <si>
    <t xml:space="preserve">ANGIE               </t>
  </si>
  <si>
    <t xml:space="preserve">Stefan              </t>
  </si>
  <si>
    <t xml:space="preserve">RADEE               </t>
  </si>
  <si>
    <t xml:space="preserve">nomakaya            </t>
  </si>
  <si>
    <t xml:space="preserve">Irene               </t>
  </si>
  <si>
    <t xml:space="preserve">Andrew              </t>
  </si>
  <si>
    <t xml:space="preserve">glen                </t>
  </si>
  <si>
    <t xml:space="preserve">piet                </t>
  </si>
  <si>
    <t xml:space="preserve">Roderick            </t>
  </si>
  <si>
    <t xml:space="preserve">noxolo              </t>
  </si>
  <si>
    <t xml:space="preserve">masilulele          </t>
  </si>
  <si>
    <t xml:space="preserve">vanessa             </t>
  </si>
  <si>
    <t xml:space="preserve">joe                 </t>
  </si>
  <si>
    <t xml:space="preserve">LINDIWE             </t>
  </si>
  <si>
    <t xml:space="preserve">zanele              </t>
  </si>
  <si>
    <t>ILLOVO SUGAR LTD-EST</t>
  </si>
  <si>
    <t>LACTLIS SOUTH AFRICA</t>
  </si>
  <si>
    <t xml:space="preserve">Jeanette            </t>
  </si>
  <si>
    <t>RAMSAY ENGINEERING P</t>
  </si>
  <si>
    <t>ULTRAFOOD INNOVATION</t>
  </si>
  <si>
    <t xml:space="preserve">LORBRAND (PTY)LTD   </t>
  </si>
  <si>
    <t xml:space="preserve">BMG                 </t>
  </si>
  <si>
    <t xml:space="preserve">ACDC DYNAMICS CC    </t>
  </si>
  <si>
    <t>SOUTH AFRICAN BANK N</t>
  </si>
  <si>
    <t xml:space="preserve">LIQUI BOX           </t>
  </si>
  <si>
    <t xml:space="preserve">DM ENGINEERING      </t>
  </si>
  <si>
    <t xml:space="preserve">FG LAPASTA (PTY)LTD </t>
  </si>
  <si>
    <t xml:space="preserve">Rand Refinery       </t>
  </si>
  <si>
    <t>ICEBA VINCO (PTY)LTD</t>
  </si>
  <si>
    <t xml:space="preserve">I M E SA            </t>
  </si>
  <si>
    <t xml:space="preserve">DEBSWANA DIAMOND CO </t>
  </si>
  <si>
    <t>BEARING MAN GROUP (P</t>
  </si>
  <si>
    <t xml:space="preserve">IPACKCHEM PTY LTD   </t>
  </si>
  <si>
    <t xml:space="preserve">Kreden              </t>
  </si>
  <si>
    <t xml:space="preserve">MABOY               </t>
  </si>
  <si>
    <t>DBC</t>
  </si>
  <si>
    <t xml:space="preserve">moses               </t>
  </si>
  <si>
    <t xml:space="preserve">christeen           </t>
  </si>
  <si>
    <t xml:space="preserve">HENRE               </t>
  </si>
  <si>
    <t xml:space="preserve">Andrei              </t>
  </si>
  <si>
    <t xml:space="preserve">M ZUMA              </t>
  </si>
  <si>
    <t xml:space="preserve">elvis               </t>
  </si>
  <si>
    <t xml:space="preserve">rodene              </t>
  </si>
  <si>
    <t xml:space="preserve">kreolan             </t>
  </si>
  <si>
    <t>SEC</t>
  </si>
  <si>
    <t xml:space="preserve">Diresh              </t>
  </si>
  <si>
    <t xml:space="preserve">Rajan               </t>
  </si>
  <si>
    <t xml:space="preserve">quinton             </t>
  </si>
  <si>
    <t xml:space="preserve">Shane               </t>
  </si>
  <si>
    <t xml:space="preserve">rejoice             </t>
  </si>
  <si>
    <t xml:space="preserve">M Diest             </t>
  </si>
  <si>
    <t xml:space="preserve">sizwe               </t>
  </si>
  <si>
    <t xml:space="preserve">dez                 </t>
  </si>
  <si>
    <t xml:space="preserve">ERUSMUS             </t>
  </si>
  <si>
    <t xml:space="preserve">RONALD              </t>
  </si>
  <si>
    <t xml:space="preserve">chaz                </t>
  </si>
  <si>
    <t xml:space="preserve">MPUMZI              </t>
  </si>
  <si>
    <t xml:space="preserve">Nandi               </t>
  </si>
  <si>
    <t xml:space="preserve">NIEL                </t>
  </si>
  <si>
    <t xml:space="preserve">Jaques              </t>
  </si>
  <si>
    <t xml:space="preserve">Kishen              </t>
  </si>
  <si>
    <t xml:space="preserve">DSVID               </t>
  </si>
  <si>
    <t xml:space="preserve">Saggie              </t>
  </si>
  <si>
    <t xml:space="preserve">adrian              </t>
  </si>
  <si>
    <t xml:space="preserve">Arnold              </t>
  </si>
  <si>
    <t xml:space="preserve">shireen             </t>
  </si>
  <si>
    <t xml:space="preserve">Simon               </t>
  </si>
  <si>
    <t xml:space="preserve">kamogelo            </t>
  </si>
  <si>
    <t xml:space="preserve">tshepe              </t>
  </si>
  <si>
    <t xml:space="preserve">Tshepo              </t>
  </si>
  <si>
    <t xml:space="preserve">SHELDON             </t>
  </si>
  <si>
    <t xml:space="preserve">Goolam              </t>
  </si>
  <si>
    <t xml:space="preserve">REFILWE             </t>
  </si>
  <si>
    <t xml:space="preserve">PHILLIMON           </t>
  </si>
  <si>
    <t xml:space="preserve">LULAMA              </t>
  </si>
  <si>
    <t xml:space="preserve">R Briders           </t>
  </si>
  <si>
    <t xml:space="preserve">Nkanyiso            </t>
  </si>
  <si>
    <t xml:space="preserve">Shela               </t>
  </si>
  <si>
    <t xml:space="preserve">Sandisile           </t>
  </si>
  <si>
    <t xml:space="preserve">ZEL                 </t>
  </si>
  <si>
    <t xml:space="preserve">mqondishi           </t>
  </si>
  <si>
    <t xml:space="preserve">ANZEL               </t>
  </si>
  <si>
    <t>02/11/2020</t>
  </si>
  <si>
    <t xml:space="preserve">brendan             </t>
  </si>
  <si>
    <t xml:space="preserve">BOBYN               </t>
  </si>
  <si>
    <t>PFK ELECTRONICS (PTY</t>
  </si>
  <si>
    <t xml:space="preserve">CLOVER SA           </t>
  </si>
  <si>
    <t xml:space="preserve">QUICK VOLK ELECTRIC </t>
  </si>
  <si>
    <t xml:space="preserve">DIVFOOD   NAMPAK    </t>
  </si>
  <si>
    <t xml:space="preserve">CASSO               </t>
  </si>
  <si>
    <t xml:space="preserve">ELPO S.A (PTY)LTD   </t>
  </si>
  <si>
    <t>PRIGGE PACKAGING (PT</t>
  </si>
  <si>
    <t>TRANSVAAL HYDRAULICS</t>
  </si>
  <si>
    <t xml:space="preserve">ISANDO FOODS        </t>
  </si>
  <si>
    <t xml:space="preserve">SCHRADER PNEUMATICS </t>
  </si>
  <si>
    <t>BIO CAPSULE PHARMACE</t>
  </si>
  <si>
    <t>THOROUGHTEC SIMULATI</t>
  </si>
  <si>
    <t xml:space="preserve">Luke                </t>
  </si>
  <si>
    <t>COCA COLA SHANDUKA B</t>
  </si>
  <si>
    <t xml:space="preserve">DSV CO TRADECORP    </t>
  </si>
  <si>
    <t xml:space="preserve">AC PNEUMATICS       </t>
  </si>
  <si>
    <t>HERAEUS ELECTRO NITE</t>
  </si>
  <si>
    <t>THE HYDRAULIC CENTRE</t>
  </si>
  <si>
    <t>BAD ADDRESS</t>
  </si>
  <si>
    <t>Michael</t>
  </si>
  <si>
    <t xml:space="preserve">CHRISTO             </t>
  </si>
  <si>
    <t xml:space="preserve">TOM                 </t>
  </si>
  <si>
    <t xml:space="preserve">kerisha             </t>
  </si>
  <si>
    <t xml:space="preserve">thato               </t>
  </si>
  <si>
    <t xml:space="preserve">tas                 </t>
  </si>
  <si>
    <t xml:space="preserve">Suzie               </t>
  </si>
  <si>
    <t xml:space="preserve">Tommy               </t>
  </si>
  <si>
    <t>03/11/2020</t>
  </si>
  <si>
    <t xml:space="preserve">JOOSEN              </t>
  </si>
  <si>
    <t xml:space="preserve">Olga                </t>
  </si>
  <si>
    <t xml:space="preserve">tshepo              </t>
  </si>
  <si>
    <t xml:space="preserve">mbonomtsha          </t>
  </si>
  <si>
    <t xml:space="preserve">jowill              </t>
  </si>
  <si>
    <t xml:space="preserve">E WARRIES           </t>
  </si>
  <si>
    <t xml:space="preserve">benneth             </t>
  </si>
  <si>
    <t xml:space="preserve">Edie                </t>
  </si>
  <si>
    <t xml:space="preserve">sheldon             </t>
  </si>
  <si>
    <t xml:space="preserve">brain               </t>
  </si>
  <si>
    <t xml:space="preserve">Barnard             </t>
  </si>
  <si>
    <t xml:space="preserve">peral               </t>
  </si>
  <si>
    <t xml:space="preserve">corrie              </t>
  </si>
  <si>
    <t xml:space="preserve">MR LEDWABA          </t>
  </si>
  <si>
    <t xml:space="preserve">tylen               </t>
  </si>
  <si>
    <t xml:space="preserve">samuel              </t>
  </si>
  <si>
    <t xml:space="preserve">Amon                </t>
  </si>
  <si>
    <t xml:space="preserve">Keagan              </t>
  </si>
  <si>
    <t xml:space="preserve">N Dakika            </t>
  </si>
  <si>
    <t xml:space="preserve">khanyisani          </t>
  </si>
  <si>
    <t xml:space="preserve">Sana                </t>
  </si>
  <si>
    <t xml:space="preserve">PRINCE              </t>
  </si>
  <si>
    <t xml:space="preserve">Dean Marthe         </t>
  </si>
  <si>
    <t xml:space="preserve">morius              </t>
  </si>
  <si>
    <t xml:space="preserve">Randal              </t>
  </si>
  <si>
    <t xml:space="preserve">candice             </t>
  </si>
  <si>
    <t xml:space="preserve">orae                </t>
  </si>
  <si>
    <t xml:space="preserve">lawai               </t>
  </si>
  <si>
    <t xml:space="preserve">Stanton             </t>
  </si>
  <si>
    <t xml:space="preserve">khum ulo            </t>
  </si>
  <si>
    <t xml:space="preserve">Nikde               </t>
  </si>
  <si>
    <t xml:space="preserve">lucy                </t>
  </si>
  <si>
    <t xml:space="preserve">Neville             </t>
  </si>
  <si>
    <t xml:space="preserve">tracey              </t>
  </si>
  <si>
    <t xml:space="preserve">thulani             </t>
  </si>
  <si>
    <t xml:space="preserve">bobo                </t>
  </si>
  <si>
    <t xml:space="preserve">daniel              </t>
  </si>
  <si>
    <t xml:space="preserve">Graig               </t>
  </si>
  <si>
    <t xml:space="preserve">Theo                </t>
  </si>
  <si>
    <t xml:space="preserve">Allan               </t>
  </si>
  <si>
    <t xml:space="preserve">Cedric 08 45        </t>
  </si>
  <si>
    <t xml:space="preserve">wendy               </t>
  </si>
  <si>
    <t xml:space="preserve">thompson            </t>
  </si>
  <si>
    <t xml:space="preserve">francine            </t>
  </si>
  <si>
    <t xml:space="preserve">KUHN AND REINFARDT  </t>
  </si>
  <si>
    <t xml:space="preserve">SKYE PLASTICS (PTY) </t>
  </si>
  <si>
    <t xml:space="preserve">SKYE PLASTICS  PTY  </t>
  </si>
  <si>
    <t>WEST END CLAY BRICKS</t>
  </si>
  <si>
    <t xml:space="preserve">GRAMEC PTY LTD      </t>
  </si>
  <si>
    <t xml:space="preserve">yanda               </t>
  </si>
  <si>
    <t>ALBANY BAKERY RANDFO</t>
  </si>
  <si>
    <t>MW WHEELS SA (PTY) L</t>
  </si>
  <si>
    <t>CTP WEB PRINTERS JOH</t>
  </si>
  <si>
    <t xml:space="preserve">Elijah              </t>
  </si>
  <si>
    <t xml:space="preserve">JADEC STEEL PROJECT </t>
  </si>
  <si>
    <t xml:space="preserve">WILVIC PLASTICS CC  </t>
  </si>
  <si>
    <t>CLYDE BERGEMAN AFRIC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</si>
</sst>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2" xfId="0" applyFont="1" applyBorder="1"/>
    <xf numFmtId="0" fontId="2" fillId="0" borderId="1" xfId="0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0" fillId="2" borderId="0" xfId="0" applyFill="1"/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20" fontId="2" fillId="2" borderId="0" xfId="0" applyNumberFormat="1" applyFont="1" applyFill="1"/>
    <xf numFmtId="0" fontId="2" fillId="2" borderId="0" xfId="0" applyFont="1" applyFill="1"/>
    <xf numFmtId="20" fontId="2" fillId="2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0" fillId="4" borderId="0" xfId="0" applyFill="1"/>
    <xf numFmtId="0" fontId="0" fillId="6" borderId="0" xfId="0" applyFill="1"/>
    <xf numFmtId="0" fontId="0" fillId="7" borderId="0" xfId="0" applyFill="1"/>
    <xf numFmtId="0" fontId="2" fillId="8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20" fontId="2" fillId="9" borderId="1" xfId="0" applyNumberFormat="1" applyFont="1" applyFill="1" applyBorder="1" applyAlignment="1">
      <alignment horizontal="center"/>
    </xf>
    <xf numFmtId="0" fontId="2" fillId="1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20" fontId="3" fillId="0" borderId="1" xfId="0" applyNumberFormat="1" applyFont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11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4288"/>
  <sheetViews>
    <sheetView tabSelected="1" topLeftCell="A3180" workbookViewId="0">
      <selection activeCell="A3444" sqref="A3444:O3444"/>
    </sheetView>
  </sheetViews>
  <sheetFormatPr defaultRowHeight="15" x14ac:dyDescent="0.25"/>
  <cols>
    <col min="1" max="1" width="8.5703125" customWidth="1"/>
    <col min="2" max="2" width="15.7109375" bestFit="1" customWidth="1"/>
    <col min="3" max="3" width="12.42578125" bestFit="1" customWidth="1"/>
    <col min="4" max="4" width="12.140625" bestFit="1" customWidth="1"/>
    <col min="5" max="5" width="18.5703125" bestFit="1" customWidth="1"/>
    <col min="9" max="9" width="16.7109375" bestFit="1" customWidth="1"/>
    <col min="10" max="10" width="18.7109375" bestFit="1" customWidth="1"/>
    <col min="11" max="11" width="9.42578125" bestFit="1" customWidth="1"/>
    <col min="12" max="12" width="9.7109375" bestFit="1" customWidth="1"/>
    <col min="13" max="13" width="18.140625" bestFit="1" customWidth="1"/>
    <col min="14" max="14" width="27.5703125" customWidth="1"/>
    <col min="15" max="15" width="47.28515625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5">
      <c r="A2" s="2" t="s">
        <v>15</v>
      </c>
      <c r="B2" s="2" t="str">
        <f>"FES1162767440"</f>
        <v>FES1162767440</v>
      </c>
      <c r="C2" s="2" t="s">
        <v>16</v>
      </c>
      <c r="D2" s="2">
        <v>1</v>
      </c>
      <c r="E2" s="2" t="str">
        <f>"2170755448"</f>
        <v>2170755448</v>
      </c>
      <c r="F2" s="2" t="s">
        <v>17</v>
      </c>
      <c r="G2" s="2" t="s">
        <v>18</v>
      </c>
      <c r="H2" s="2" t="s">
        <v>19</v>
      </c>
      <c r="I2" s="2" t="s">
        <v>20</v>
      </c>
      <c r="J2" s="2" t="s">
        <v>21</v>
      </c>
      <c r="K2" s="2" t="s">
        <v>22</v>
      </c>
      <c r="L2" s="3">
        <v>0.37013888888888885</v>
      </c>
      <c r="M2" s="2" t="s">
        <v>263</v>
      </c>
      <c r="N2" s="2" t="s">
        <v>500</v>
      </c>
      <c r="O2" s="2"/>
    </row>
    <row r="3" spans="1:15" x14ac:dyDescent="0.25">
      <c r="A3" s="2" t="s">
        <v>15</v>
      </c>
      <c r="B3" s="2" t="str">
        <f>"FES1162767465"</f>
        <v>FES1162767465</v>
      </c>
      <c r="C3" s="2" t="s">
        <v>16</v>
      </c>
      <c r="D3" s="2">
        <v>1</v>
      </c>
      <c r="E3" s="2" t="str">
        <f>"2170755488"</f>
        <v>2170755488</v>
      </c>
      <c r="F3" s="2" t="s">
        <v>17</v>
      </c>
      <c r="G3" s="2" t="s">
        <v>18</v>
      </c>
      <c r="H3" s="2" t="s">
        <v>25</v>
      </c>
      <c r="I3" s="2" t="s">
        <v>26</v>
      </c>
      <c r="J3" s="2" t="s">
        <v>27</v>
      </c>
      <c r="K3" s="2" t="s">
        <v>22</v>
      </c>
      <c r="L3" s="3">
        <v>0.37083333333333335</v>
      </c>
      <c r="M3" s="2" t="s">
        <v>171</v>
      </c>
      <c r="N3" s="2" t="s">
        <v>500</v>
      </c>
      <c r="O3" s="2"/>
    </row>
    <row r="4" spans="1:15" x14ac:dyDescent="0.25">
      <c r="A4" s="2" t="s">
        <v>15</v>
      </c>
      <c r="B4" s="2" t="str">
        <f>"FES1162767367"</f>
        <v>FES1162767367</v>
      </c>
      <c r="C4" s="2" t="s">
        <v>16</v>
      </c>
      <c r="D4" s="2">
        <v>1</v>
      </c>
      <c r="E4" s="2" t="str">
        <f>"2170755335"</f>
        <v>2170755335</v>
      </c>
      <c r="F4" s="2" t="s">
        <v>17</v>
      </c>
      <c r="G4" s="2" t="s">
        <v>18</v>
      </c>
      <c r="H4" s="2" t="s">
        <v>25</v>
      </c>
      <c r="I4" s="2" t="s">
        <v>26</v>
      </c>
      <c r="J4" s="2" t="s">
        <v>28</v>
      </c>
      <c r="K4" s="2" t="s">
        <v>22</v>
      </c>
      <c r="L4" s="3">
        <v>0.43402777777777773</v>
      </c>
      <c r="M4" s="2" t="s">
        <v>172</v>
      </c>
      <c r="N4" s="2" t="s">
        <v>500</v>
      </c>
      <c r="O4" s="2"/>
    </row>
    <row r="5" spans="1:15" x14ac:dyDescent="0.25">
      <c r="A5" s="2" t="s">
        <v>15</v>
      </c>
      <c r="B5" s="2" t="str">
        <f>"FES1162767369"</f>
        <v>FES1162767369</v>
      </c>
      <c r="C5" s="2" t="s">
        <v>16</v>
      </c>
      <c r="D5" s="2">
        <v>1</v>
      </c>
      <c r="E5" s="2" t="str">
        <f>"2170755346"</f>
        <v>2170755346</v>
      </c>
      <c r="F5" s="2" t="s">
        <v>17</v>
      </c>
      <c r="G5" s="2" t="s">
        <v>18</v>
      </c>
      <c r="H5" s="2" t="s">
        <v>19</v>
      </c>
      <c r="I5" s="2" t="s">
        <v>20</v>
      </c>
      <c r="J5" s="2" t="s">
        <v>29</v>
      </c>
      <c r="K5" s="2" t="s">
        <v>22</v>
      </c>
      <c r="L5" s="3">
        <v>0.36180555555555555</v>
      </c>
      <c r="M5" s="2" t="s">
        <v>173</v>
      </c>
      <c r="N5" s="2" t="s">
        <v>500</v>
      </c>
      <c r="O5" s="2"/>
    </row>
    <row r="6" spans="1:15" x14ac:dyDescent="0.25">
      <c r="A6" s="2" t="s">
        <v>15</v>
      </c>
      <c r="B6" s="2" t="str">
        <f>"FES1162767371"</f>
        <v>FES1162767371</v>
      </c>
      <c r="C6" s="2" t="s">
        <v>16</v>
      </c>
      <c r="D6" s="2">
        <v>1</v>
      </c>
      <c r="E6" s="2" t="str">
        <f>"2170755357"</f>
        <v>2170755357</v>
      </c>
      <c r="F6" s="2" t="s">
        <v>17</v>
      </c>
      <c r="G6" s="2" t="s">
        <v>18</v>
      </c>
      <c r="H6" s="2" t="s">
        <v>30</v>
      </c>
      <c r="I6" s="2" t="s">
        <v>31</v>
      </c>
      <c r="J6" s="2" t="s">
        <v>32</v>
      </c>
      <c r="K6" s="2" t="s">
        <v>174</v>
      </c>
      <c r="L6" s="3">
        <v>0.65972222222222221</v>
      </c>
      <c r="M6" s="2" t="s">
        <v>264</v>
      </c>
      <c r="N6" s="2" t="s">
        <v>500</v>
      </c>
      <c r="O6" s="2"/>
    </row>
    <row r="7" spans="1:15" x14ac:dyDescent="0.25">
      <c r="A7" s="2" t="s">
        <v>15</v>
      </c>
      <c r="B7" s="2" t="str">
        <f>"FES1162767372"</f>
        <v>FES1162767372</v>
      </c>
      <c r="C7" s="2" t="s">
        <v>16</v>
      </c>
      <c r="D7" s="2">
        <v>1</v>
      </c>
      <c r="E7" s="2" t="str">
        <f>"2170755369"</f>
        <v>2170755369</v>
      </c>
      <c r="F7" s="2" t="s">
        <v>17</v>
      </c>
      <c r="G7" s="2" t="s">
        <v>18</v>
      </c>
      <c r="H7" s="2" t="s">
        <v>33</v>
      </c>
      <c r="I7" s="2" t="s">
        <v>34</v>
      </c>
      <c r="J7" s="2" t="s">
        <v>35</v>
      </c>
      <c r="K7" s="2" t="s">
        <v>22</v>
      </c>
      <c r="L7" s="3">
        <v>0.66041666666666665</v>
      </c>
      <c r="M7" s="2" t="s">
        <v>176</v>
      </c>
      <c r="N7" s="2" t="s">
        <v>500</v>
      </c>
      <c r="O7" s="2"/>
    </row>
    <row r="8" spans="1:15" x14ac:dyDescent="0.25">
      <c r="A8" s="2" t="s">
        <v>15</v>
      </c>
      <c r="B8" s="2" t="str">
        <f>"FES1162767368"</f>
        <v>FES1162767368</v>
      </c>
      <c r="C8" s="2" t="s">
        <v>16</v>
      </c>
      <c r="D8" s="2">
        <v>1</v>
      </c>
      <c r="E8" s="2" t="str">
        <f>"2170755339"</f>
        <v>2170755339</v>
      </c>
      <c r="F8" s="2" t="s">
        <v>17</v>
      </c>
      <c r="G8" s="2" t="s">
        <v>18</v>
      </c>
      <c r="H8" s="2" t="s">
        <v>36</v>
      </c>
      <c r="I8" s="2" t="s">
        <v>37</v>
      </c>
      <c r="J8" s="2" t="s">
        <v>38</v>
      </c>
      <c r="K8" s="2" t="s">
        <v>22</v>
      </c>
      <c r="L8" s="3">
        <v>0.40347222222222223</v>
      </c>
      <c r="M8" s="2" t="s">
        <v>177</v>
      </c>
      <c r="N8" s="2" t="s">
        <v>500</v>
      </c>
      <c r="O8" s="2"/>
    </row>
    <row r="9" spans="1:15" x14ac:dyDescent="0.25">
      <c r="A9" s="2" t="s">
        <v>15</v>
      </c>
      <c r="B9" s="2" t="str">
        <f>"FES1162767388"</f>
        <v>FES1162767388</v>
      </c>
      <c r="C9" s="2" t="s">
        <v>16</v>
      </c>
      <c r="D9" s="2">
        <v>1</v>
      </c>
      <c r="E9" s="2" t="str">
        <f>"2170754585"</f>
        <v>2170754585</v>
      </c>
      <c r="F9" s="2" t="s">
        <v>17</v>
      </c>
      <c r="G9" s="2" t="s">
        <v>18</v>
      </c>
      <c r="H9" s="2" t="s">
        <v>25</v>
      </c>
      <c r="I9" s="2" t="s">
        <v>39</v>
      </c>
      <c r="J9" s="2" t="s">
        <v>40</v>
      </c>
      <c r="K9" s="2" t="s">
        <v>22</v>
      </c>
      <c r="L9" s="3">
        <v>0.37777777777777777</v>
      </c>
      <c r="M9" s="2" t="s">
        <v>178</v>
      </c>
      <c r="N9" s="2" t="s">
        <v>500</v>
      </c>
      <c r="O9" s="2"/>
    </row>
    <row r="10" spans="1:15" x14ac:dyDescent="0.25">
      <c r="A10" s="2" t="s">
        <v>15</v>
      </c>
      <c r="B10" s="2" t="str">
        <f>"FES1162767375"</f>
        <v>FES1162767375</v>
      </c>
      <c r="C10" s="2" t="s">
        <v>16</v>
      </c>
      <c r="D10" s="2">
        <v>1</v>
      </c>
      <c r="E10" s="2" t="str">
        <f>"2170755380"</f>
        <v>2170755380</v>
      </c>
      <c r="F10" s="2" t="s">
        <v>17</v>
      </c>
      <c r="G10" s="2" t="s">
        <v>18</v>
      </c>
      <c r="H10" s="2" t="s">
        <v>36</v>
      </c>
      <c r="I10" s="2" t="s">
        <v>37</v>
      </c>
      <c r="J10" s="2" t="s">
        <v>41</v>
      </c>
      <c r="K10" s="2" t="s">
        <v>22</v>
      </c>
      <c r="L10" s="3">
        <v>0.3659722222222222</v>
      </c>
      <c r="M10" s="2" t="s">
        <v>179</v>
      </c>
      <c r="N10" s="2" t="s">
        <v>500</v>
      </c>
      <c r="O10" s="2"/>
    </row>
    <row r="11" spans="1:15" x14ac:dyDescent="0.25">
      <c r="A11" s="2" t="s">
        <v>15</v>
      </c>
      <c r="B11" s="2" t="str">
        <f>"FES1162767381"</f>
        <v>FES1162767381</v>
      </c>
      <c r="C11" s="2" t="s">
        <v>16</v>
      </c>
      <c r="D11" s="2">
        <v>1</v>
      </c>
      <c r="E11" s="2" t="str">
        <f>"2170754340"</f>
        <v>2170754340</v>
      </c>
      <c r="F11" s="2" t="s">
        <v>17</v>
      </c>
      <c r="G11" s="2" t="s">
        <v>18</v>
      </c>
      <c r="H11" s="2" t="s">
        <v>25</v>
      </c>
      <c r="I11" s="2" t="s">
        <v>42</v>
      </c>
      <c r="J11" s="2" t="s">
        <v>43</v>
      </c>
      <c r="K11" s="2" t="s">
        <v>22</v>
      </c>
      <c r="L11" s="3">
        <v>0.54027777777777775</v>
      </c>
      <c r="M11" s="2" t="s">
        <v>180</v>
      </c>
      <c r="N11" s="2" t="s">
        <v>500</v>
      </c>
      <c r="O11" s="2"/>
    </row>
    <row r="12" spans="1:15" x14ac:dyDescent="0.25">
      <c r="A12" s="2" t="s">
        <v>15</v>
      </c>
      <c r="B12" s="2" t="str">
        <f>"FES1162767387"</f>
        <v>FES1162767387</v>
      </c>
      <c r="C12" s="2" t="s">
        <v>16</v>
      </c>
      <c r="D12" s="2">
        <v>1</v>
      </c>
      <c r="E12" s="2" t="str">
        <f>"2170754575"</f>
        <v>2170754575</v>
      </c>
      <c r="F12" s="2" t="s">
        <v>17</v>
      </c>
      <c r="G12" s="2" t="s">
        <v>18</v>
      </c>
      <c r="H12" s="2" t="s">
        <v>25</v>
      </c>
      <c r="I12" s="2" t="s">
        <v>26</v>
      </c>
      <c r="J12" s="2" t="s">
        <v>44</v>
      </c>
      <c r="K12" s="2" t="s">
        <v>22</v>
      </c>
      <c r="L12" s="3">
        <v>0.42152777777777778</v>
      </c>
      <c r="M12" s="2" t="s">
        <v>181</v>
      </c>
      <c r="N12" s="2" t="s">
        <v>500</v>
      </c>
      <c r="O12" s="2"/>
    </row>
    <row r="13" spans="1:15" x14ac:dyDescent="0.25">
      <c r="A13" s="5" t="s">
        <v>15</v>
      </c>
      <c r="B13" s="5" t="str">
        <f>"FES1162767370"</f>
        <v>FES1162767370</v>
      </c>
      <c r="C13" s="5" t="s">
        <v>16</v>
      </c>
      <c r="D13" s="5">
        <v>1</v>
      </c>
      <c r="E13" s="5" t="str">
        <f>"2170755354"</f>
        <v>2170755354</v>
      </c>
      <c r="F13" s="5" t="s">
        <v>17</v>
      </c>
      <c r="G13" s="5" t="s">
        <v>18</v>
      </c>
      <c r="H13" s="5" t="s">
        <v>36</v>
      </c>
      <c r="I13" s="5" t="s">
        <v>37</v>
      </c>
      <c r="J13" s="5" t="s">
        <v>45</v>
      </c>
      <c r="K13" s="5" t="s">
        <v>698</v>
      </c>
      <c r="L13" s="9">
        <v>0.37013888888888885</v>
      </c>
      <c r="M13" s="5" t="s">
        <v>918</v>
      </c>
      <c r="N13" s="5" t="s">
        <v>500</v>
      </c>
      <c r="O13" s="5" t="s">
        <v>798</v>
      </c>
    </row>
    <row r="14" spans="1:15" x14ac:dyDescent="0.25">
      <c r="A14" s="2" t="s">
        <v>15</v>
      </c>
      <c r="B14" s="2" t="str">
        <f>"FES1162767423"</f>
        <v>FES1162767423</v>
      </c>
      <c r="C14" s="2" t="s">
        <v>16</v>
      </c>
      <c r="D14" s="2">
        <v>1</v>
      </c>
      <c r="E14" s="2" t="str">
        <f>"2170755423"</f>
        <v>2170755423</v>
      </c>
      <c r="F14" s="2" t="s">
        <v>17</v>
      </c>
      <c r="G14" s="2" t="s">
        <v>18</v>
      </c>
      <c r="H14" s="2" t="s">
        <v>18</v>
      </c>
      <c r="I14" s="2" t="s">
        <v>46</v>
      </c>
      <c r="J14" s="2" t="s">
        <v>47</v>
      </c>
      <c r="K14" s="2" t="s">
        <v>22</v>
      </c>
      <c r="L14" s="3">
        <v>0.4375</v>
      </c>
      <c r="M14" s="2" t="s">
        <v>182</v>
      </c>
      <c r="N14" s="2" t="s">
        <v>500</v>
      </c>
      <c r="O14" s="2"/>
    </row>
    <row r="15" spans="1:15" x14ac:dyDescent="0.25">
      <c r="A15" s="2" t="s">
        <v>15</v>
      </c>
      <c r="B15" s="2" t="str">
        <f>"FES1162767425"</f>
        <v>FES1162767425</v>
      </c>
      <c r="C15" s="2" t="s">
        <v>16</v>
      </c>
      <c r="D15" s="2">
        <v>1</v>
      </c>
      <c r="E15" s="2" t="str">
        <f>"2170755425"</f>
        <v>2170755425</v>
      </c>
      <c r="F15" s="2" t="s">
        <v>17</v>
      </c>
      <c r="G15" s="2" t="s">
        <v>18</v>
      </c>
      <c r="H15" s="2" t="s">
        <v>18</v>
      </c>
      <c r="I15" s="2" t="s">
        <v>48</v>
      </c>
      <c r="J15" s="2" t="s">
        <v>49</v>
      </c>
      <c r="K15" s="2" t="s">
        <v>22</v>
      </c>
      <c r="L15" s="3">
        <v>0.375</v>
      </c>
      <c r="M15" s="2" t="s">
        <v>183</v>
      </c>
      <c r="N15" s="2" t="s">
        <v>500</v>
      </c>
      <c r="O15" s="2"/>
    </row>
    <row r="16" spans="1:15" x14ac:dyDescent="0.25">
      <c r="A16" s="2" t="s">
        <v>15</v>
      </c>
      <c r="B16" s="2" t="str">
        <f>"FES1162767398"</f>
        <v>FES1162767398</v>
      </c>
      <c r="C16" s="2" t="s">
        <v>16</v>
      </c>
      <c r="D16" s="2">
        <v>2</v>
      </c>
      <c r="E16" s="2" t="str">
        <f>"2170755390"</f>
        <v>2170755390</v>
      </c>
      <c r="F16" s="2" t="s">
        <v>17</v>
      </c>
      <c r="G16" s="2" t="s">
        <v>18</v>
      </c>
      <c r="H16" s="2" t="s">
        <v>18</v>
      </c>
      <c r="I16" s="2" t="s">
        <v>48</v>
      </c>
      <c r="J16" s="2" t="s">
        <v>49</v>
      </c>
      <c r="K16" s="2" t="s">
        <v>22</v>
      </c>
      <c r="L16" s="3">
        <v>0.43124999999999997</v>
      </c>
      <c r="M16" s="2" t="s">
        <v>183</v>
      </c>
      <c r="N16" s="2" t="s">
        <v>500</v>
      </c>
      <c r="O16" s="2"/>
    </row>
    <row r="17" spans="1:15" x14ac:dyDescent="0.25">
      <c r="A17" s="2" t="s">
        <v>15</v>
      </c>
      <c r="B17" s="2" t="str">
        <f>"FES1162767390"</f>
        <v>FES1162767390</v>
      </c>
      <c r="C17" s="2" t="s">
        <v>16</v>
      </c>
      <c r="D17" s="2">
        <v>1</v>
      </c>
      <c r="E17" s="2" t="str">
        <f>"2170754779"</f>
        <v>2170754779</v>
      </c>
      <c r="F17" s="2" t="s">
        <v>17</v>
      </c>
      <c r="G17" s="2" t="s">
        <v>18</v>
      </c>
      <c r="H17" s="2" t="s">
        <v>18</v>
      </c>
      <c r="I17" s="2" t="s">
        <v>50</v>
      </c>
      <c r="J17" s="2" t="s">
        <v>51</v>
      </c>
      <c r="K17" s="2" t="s">
        <v>22</v>
      </c>
      <c r="L17" s="3">
        <v>0.41666666666666669</v>
      </c>
      <c r="M17" s="2" t="s">
        <v>184</v>
      </c>
      <c r="N17" s="2" t="s">
        <v>500</v>
      </c>
      <c r="O17" s="2"/>
    </row>
    <row r="18" spans="1:15" x14ac:dyDescent="0.25">
      <c r="A18" s="2" t="s">
        <v>15</v>
      </c>
      <c r="B18" s="2" t="str">
        <f>"FES1162767418"</f>
        <v>FES1162767418</v>
      </c>
      <c r="C18" s="2" t="s">
        <v>16</v>
      </c>
      <c r="D18" s="2">
        <v>1</v>
      </c>
      <c r="E18" s="2" t="str">
        <f>"2170755384"</f>
        <v>2170755384</v>
      </c>
      <c r="F18" s="2" t="s">
        <v>17</v>
      </c>
      <c r="G18" s="2" t="s">
        <v>18</v>
      </c>
      <c r="H18" s="2" t="s">
        <v>18</v>
      </c>
      <c r="I18" s="2" t="s">
        <v>52</v>
      </c>
      <c r="J18" s="2" t="s">
        <v>53</v>
      </c>
      <c r="K18" s="2" t="s">
        <v>22</v>
      </c>
      <c r="L18" s="3">
        <v>0.375</v>
      </c>
      <c r="M18" s="2" t="s">
        <v>185</v>
      </c>
      <c r="N18" s="2" t="s">
        <v>500</v>
      </c>
      <c r="O18" s="2"/>
    </row>
    <row r="19" spans="1:15" x14ac:dyDescent="0.25">
      <c r="A19" s="2" t="s">
        <v>15</v>
      </c>
      <c r="B19" s="2" t="str">
        <f>"FES1162767377"</f>
        <v>FES1162767377</v>
      </c>
      <c r="C19" s="2" t="s">
        <v>16</v>
      </c>
      <c r="D19" s="2">
        <v>1</v>
      </c>
      <c r="E19" s="2" t="str">
        <f>"2170751577"</f>
        <v>2170751577</v>
      </c>
      <c r="F19" s="2" t="s">
        <v>17</v>
      </c>
      <c r="G19" s="2" t="s">
        <v>18</v>
      </c>
      <c r="H19" s="2" t="s">
        <v>36</v>
      </c>
      <c r="I19" s="2" t="s">
        <v>37</v>
      </c>
      <c r="J19" s="2" t="s">
        <v>54</v>
      </c>
      <c r="K19" s="2" t="s">
        <v>22</v>
      </c>
      <c r="L19" s="3">
        <v>0.38125000000000003</v>
      </c>
      <c r="M19" s="2" t="s">
        <v>186</v>
      </c>
      <c r="N19" s="2" t="s">
        <v>500</v>
      </c>
      <c r="O19" s="2"/>
    </row>
    <row r="20" spans="1:15" x14ac:dyDescent="0.25">
      <c r="A20" s="2" t="s">
        <v>15</v>
      </c>
      <c r="B20" s="2" t="str">
        <f>"FES1162767396"</f>
        <v>FES1162767396</v>
      </c>
      <c r="C20" s="2" t="s">
        <v>16</v>
      </c>
      <c r="D20" s="2">
        <v>1</v>
      </c>
      <c r="E20" s="2" t="str">
        <f>"2170755386"</f>
        <v>2170755386</v>
      </c>
      <c r="F20" s="2" t="s">
        <v>17</v>
      </c>
      <c r="G20" s="2" t="s">
        <v>18</v>
      </c>
      <c r="H20" s="2" t="s">
        <v>36</v>
      </c>
      <c r="I20" s="2" t="s">
        <v>37</v>
      </c>
      <c r="J20" s="2" t="s">
        <v>55</v>
      </c>
      <c r="K20" s="2" t="s">
        <v>22</v>
      </c>
      <c r="L20" s="3">
        <v>0.31944444444444448</v>
      </c>
      <c r="M20" s="2" t="s">
        <v>56</v>
      </c>
      <c r="N20" s="2" t="s">
        <v>500</v>
      </c>
      <c r="O20" s="2"/>
    </row>
    <row r="21" spans="1:15" x14ac:dyDescent="0.25">
      <c r="A21" s="2" t="s">
        <v>15</v>
      </c>
      <c r="B21" s="2" t="str">
        <f>"FES1162767409"</f>
        <v>FES1162767409</v>
      </c>
      <c r="C21" s="2" t="s">
        <v>16</v>
      </c>
      <c r="D21" s="2">
        <v>1</v>
      </c>
      <c r="E21" s="2" t="str">
        <f>"2170755406"</f>
        <v>2170755406</v>
      </c>
      <c r="F21" s="2" t="s">
        <v>17</v>
      </c>
      <c r="G21" s="2" t="s">
        <v>18</v>
      </c>
      <c r="H21" s="2" t="s">
        <v>18</v>
      </c>
      <c r="I21" s="2" t="s">
        <v>50</v>
      </c>
      <c r="J21" s="2" t="s">
        <v>51</v>
      </c>
      <c r="K21" s="2" t="s">
        <v>22</v>
      </c>
      <c r="L21" s="3">
        <v>0.41666666666666669</v>
      </c>
      <c r="M21" s="2" t="s">
        <v>184</v>
      </c>
      <c r="N21" s="2" t="s">
        <v>500</v>
      </c>
      <c r="O21" s="2"/>
    </row>
    <row r="22" spans="1:15" x14ac:dyDescent="0.25">
      <c r="A22" s="2" t="s">
        <v>15</v>
      </c>
      <c r="B22" s="2" t="str">
        <f>"FES1162767439"</f>
        <v>FES1162767439</v>
      </c>
      <c r="C22" s="2" t="s">
        <v>16</v>
      </c>
      <c r="D22" s="2">
        <v>1</v>
      </c>
      <c r="E22" s="2" t="str">
        <f>"2170755447"</f>
        <v>2170755447</v>
      </c>
      <c r="F22" s="2" t="s">
        <v>17</v>
      </c>
      <c r="G22" s="2" t="s">
        <v>18</v>
      </c>
      <c r="H22" s="2" t="s">
        <v>18</v>
      </c>
      <c r="I22" s="2" t="s">
        <v>57</v>
      </c>
      <c r="J22" s="2" t="s">
        <v>58</v>
      </c>
      <c r="K22" s="2" t="s">
        <v>22</v>
      </c>
      <c r="L22" s="3">
        <v>0.39861111111111108</v>
      </c>
      <c r="M22" s="2" t="s">
        <v>187</v>
      </c>
      <c r="N22" s="2" t="s">
        <v>500</v>
      </c>
      <c r="O22" s="2"/>
    </row>
    <row r="23" spans="1:15" x14ac:dyDescent="0.25">
      <c r="A23" s="2" t="s">
        <v>15</v>
      </c>
      <c r="B23" s="2" t="str">
        <f>"FES1162767438"</f>
        <v>FES1162767438</v>
      </c>
      <c r="C23" s="2" t="s">
        <v>16</v>
      </c>
      <c r="D23" s="2">
        <v>1</v>
      </c>
      <c r="E23" s="2" t="str">
        <f>"2170755445"</f>
        <v>2170755445</v>
      </c>
      <c r="F23" s="2" t="s">
        <v>17</v>
      </c>
      <c r="G23" s="2" t="s">
        <v>18</v>
      </c>
      <c r="H23" s="2" t="s">
        <v>18</v>
      </c>
      <c r="I23" s="2" t="s">
        <v>46</v>
      </c>
      <c r="J23" s="2" t="s">
        <v>59</v>
      </c>
      <c r="K23" s="2" t="s">
        <v>22</v>
      </c>
      <c r="L23" s="3">
        <v>0.33333333333333331</v>
      </c>
      <c r="M23" s="2" t="s">
        <v>60</v>
      </c>
      <c r="N23" s="2" t="s">
        <v>500</v>
      </c>
      <c r="O23" s="2"/>
    </row>
    <row r="24" spans="1:15" x14ac:dyDescent="0.25">
      <c r="A24" s="2" t="s">
        <v>15</v>
      </c>
      <c r="B24" s="2" t="str">
        <f>"FES1162767447"</f>
        <v>FES1162767447</v>
      </c>
      <c r="C24" s="2" t="s">
        <v>16</v>
      </c>
      <c r="D24" s="2">
        <v>1</v>
      </c>
      <c r="E24" s="2" t="str">
        <f>"2170754317"</f>
        <v>2170754317</v>
      </c>
      <c r="F24" s="2" t="s">
        <v>17</v>
      </c>
      <c r="G24" s="2" t="s">
        <v>18</v>
      </c>
      <c r="H24" s="2" t="s">
        <v>25</v>
      </c>
      <c r="I24" s="2" t="s">
        <v>61</v>
      </c>
      <c r="J24" s="2" t="s">
        <v>62</v>
      </c>
      <c r="K24" s="2" t="s">
        <v>174</v>
      </c>
      <c r="L24" s="3">
        <v>0.36736111111111108</v>
      </c>
      <c r="M24" s="2" t="s">
        <v>265</v>
      </c>
      <c r="N24" s="2" t="s">
        <v>500</v>
      </c>
      <c r="O24" s="2"/>
    </row>
    <row r="25" spans="1:15" x14ac:dyDescent="0.25">
      <c r="A25" s="2" t="s">
        <v>15</v>
      </c>
      <c r="B25" s="2" t="str">
        <f>"FES1162767429"</f>
        <v>FES1162767429</v>
      </c>
      <c r="C25" s="2" t="s">
        <v>16</v>
      </c>
      <c r="D25" s="2">
        <v>1</v>
      </c>
      <c r="E25" s="2" t="str">
        <f>"2170755430"</f>
        <v>2170755430</v>
      </c>
      <c r="F25" s="2" t="s">
        <v>17</v>
      </c>
      <c r="G25" s="2" t="s">
        <v>18</v>
      </c>
      <c r="H25" s="2" t="s">
        <v>18</v>
      </c>
      <c r="I25" s="2" t="s">
        <v>63</v>
      </c>
      <c r="J25" s="2" t="s">
        <v>64</v>
      </c>
      <c r="K25" s="2" t="s">
        <v>22</v>
      </c>
      <c r="L25" s="3">
        <v>0.33888888888888885</v>
      </c>
      <c r="M25" s="2" t="s">
        <v>188</v>
      </c>
      <c r="N25" s="2" t="s">
        <v>500</v>
      </c>
      <c r="O25" s="2"/>
    </row>
    <row r="26" spans="1:15" x14ac:dyDescent="0.25">
      <c r="A26" s="2" t="s">
        <v>15</v>
      </c>
      <c r="B26" s="2" t="str">
        <f>"FES1162767434"</f>
        <v>FES1162767434</v>
      </c>
      <c r="C26" s="2" t="s">
        <v>16</v>
      </c>
      <c r="D26" s="2">
        <v>1</v>
      </c>
      <c r="E26" s="2" t="str">
        <f>"2170755439"</f>
        <v>2170755439</v>
      </c>
      <c r="F26" s="2" t="s">
        <v>17</v>
      </c>
      <c r="G26" s="2" t="s">
        <v>18</v>
      </c>
      <c r="H26" s="2" t="s">
        <v>18</v>
      </c>
      <c r="I26" s="2" t="s">
        <v>65</v>
      </c>
      <c r="J26" s="2" t="s">
        <v>66</v>
      </c>
      <c r="K26" s="2" t="s">
        <v>22</v>
      </c>
      <c r="L26" s="3">
        <v>0.32847222222222222</v>
      </c>
      <c r="M26" s="2" t="s">
        <v>189</v>
      </c>
      <c r="N26" s="2" t="s">
        <v>500</v>
      </c>
      <c r="O26" s="2"/>
    </row>
    <row r="27" spans="1:15" x14ac:dyDescent="0.25">
      <c r="A27" s="2" t="s">
        <v>15</v>
      </c>
      <c r="B27" s="2" t="str">
        <f>"FES1162767408"</f>
        <v>FES1162767408</v>
      </c>
      <c r="C27" s="2" t="s">
        <v>16</v>
      </c>
      <c r="D27" s="2">
        <v>1</v>
      </c>
      <c r="E27" s="2" t="str">
        <f>"2170755404"</f>
        <v>2170755404</v>
      </c>
      <c r="F27" s="2" t="s">
        <v>17</v>
      </c>
      <c r="G27" s="2" t="s">
        <v>18</v>
      </c>
      <c r="H27" s="2" t="s">
        <v>36</v>
      </c>
      <c r="I27" s="2" t="s">
        <v>67</v>
      </c>
      <c r="J27" s="2" t="s">
        <v>68</v>
      </c>
      <c r="K27" s="2" t="s">
        <v>22</v>
      </c>
      <c r="L27" s="3">
        <v>0.43888888888888888</v>
      </c>
      <c r="M27" s="2" t="s">
        <v>190</v>
      </c>
      <c r="N27" s="2" t="s">
        <v>500</v>
      </c>
      <c r="O27" s="2"/>
    </row>
    <row r="28" spans="1:15" x14ac:dyDescent="0.25">
      <c r="A28" s="2" t="s">
        <v>15</v>
      </c>
      <c r="B28" s="2" t="str">
        <f>"FES1162767403"</f>
        <v>FES1162767403</v>
      </c>
      <c r="C28" s="2" t="s">
        <v>16</v>
      </c>
      <c r="D28" s="2">
        <v>1</v>
      </c>
      <c r="E28" s="2" t="str">
        <f>"2170755397"</f>
        <v>2170755397</v>
      </c>
      <c r="F28" s="2" t="s">
        <v>17</v>
      </c>
      <c r="G28" s="2" t="s">
        <v>18</v>
      </c>
      <c r="H28" s="2" t="s">
        <v>33</v>
      </c>
      <c r="I28" s="2" t="s">
        <v>34</v>
      </c>
      <c r="J28" s="2" t="s">
        <v>69</v>
      </c>
      <c r="K28" s="2" t="s">
        <v>22</v>
      </c>
      <c r="L28" s="3">
        <v>0.43333333333333335</v>
      </c>
      <c r="M28" s="2" t="s">
        <v>191</v>
      </c>
      <c r="N28" s="2" t="s">
        <v>500</v>
      </c>
      <c r="O28" s="2"/>
    </row>
    <row r="29" spans="1:15" x14ac:dyDescent="0.25">
      <c r="A29" s="2" t="s">
        <v>15</v>
      </c>
      <c r="B29" s="2" t="str">
        <f>"FES1162767441"</f>
        <v>FES1162767441</v>
      </c>
      <c r="C29" s="2" t="s">
        <v>16</v>
      </c>
      <c r="D29" s="2">
        <v>1</v>
      </c>
      <c r="E29" s="2" t="str">
        <f>"2170755449"</f>
        <v>2170755449</v>
      </c>
      <c r="F29" s="2" t="s">
        <v>17</v>
      </c>
      <c r="G29" s="2" t="s">
        <v>18</v>
      </c>
      <c r="H29" s="2" t="s">
        <v>33</v>
      </c>
      <c r="I29" s="2" t="s">
        <v>34</v>
      </c>
      <c r="J29" s="2" t="s">
        <v>70</v>
      </c>
      <c r="K29" s="2" t="s">
        <v>22</v>
      </c>
      <c r="L29" s="3">
        <v>0.43333333333333335</v>
      </c>
      <c r="M29" s="2" t="s">
        <v>192</v>
      </c>
      <c r="N29" s="2" t="s">
        <v>500</v>
      </c>
      <c r="O29" s="2"/>
    </row>
    <row r="30" spans="1:15" x14ac:dyDescent="0.25">
      <c r="A30" s="2" t="s">
        <v>15</v>
      </c>
      <c r="B30" s="2" t="str">
        <f>"FES1162767404"</f>
        <v>FES1162767404</v>
      </c>
      <c r="C30" s="2" t="s">
        <v>16</v>
      </c>
      <c r="D30" s="2">
        <v>1</v>
      </c>
      <c r="E30" s="2" t="str">
        <f>"2170755398"</f>
        <v>2170755398</v>
      </c>
      <c r="F30" s="2" t="s">
        <v>17</v>
      </c>
      <c r="G30" s="2" t="s">
        <v>18</v>
      </c>
      <c r="H30" s="2" t="s">
        <v>33</v>
      </c>
      <c r="I30" s="2" t="s">
        <v>34</v>
      </c>
      <c r="J30" s="2" t="s">
        <v>71</v>
      </c>
      <c r="K30" s="2" t="s">
        <v>22</v>
      </c>
      <c r="L30" s="3">
        <v>0.43333333333333335</v>
      </c>
      <c r="M30" s="2" t="s">
        <v>193</v>
      </c>
      <c r="N30" s="2" t="s">
        <v>500</v>
      </c>
      <c r="O30" s="2"/>
    </row>
    <row r="31" spans="1:15" x14ac:dyDescent="0.25">
      <c r="A31" s="2" t="s">
        <v>15</v>
      </c>
      <c r="B31" s="2" t="str">
        <f>"FES1162767380"</f>
        <v>FES1162767380</v>
      </c>
      <c r="C31" s="2" t="s">
        <v>16</v>
      </c>
      <c r="D31" s="2">
        <v>1</v>
      </c>
      <c r="E31" s="2" t="str">
        <f>"2170754202"</f>
        <v>2170754202</v>
      </c>
      <c r="F31" s="2" t="s">
        <v>17</v>
      </c>
      <c r="G31" s="2" t="s">
        <v>18</v>
      </c>
      <c r="H31" s="2" t="s">
        <v>36</v>
      </c>
      <c r="I31" s="2" t="s">
        <v>67</v>
      </c>
      <c r="J31" s="2" t="s">
        <v>72</v>
      </c>
      <c r="K31" s="2" t="s">
        <v>22</v>
      </c>
      <c r="L31" s="3">
        <v>0.39861111111111108</v>
      </c>
      <c r="M31" s="2" t="s">
        <v>194</v>
      </c>
      <c r="N31" s="2" t="s">
        <v>500</v>
      </c>
      <c r="O31" s="2"/>
    </row>
    <row r="32" spans="1:15" x14ac:dyDescent="0.25">
      <c r="A32" s="2" t="s">
        <v>15</v>
      </c>
      <c r="B32" s="2" t="str">
        <f>"FES1162767415"</f>
        <v>FES1162767415</v>
      </c>
      <c r="C32" s="2" t="s">
        <v>16</v>
      </c>
      <c r="D32" s="2">
        <v>1</v>
      </c>
      <c r="E32" s="2" t="str">
        <f>"2170755414"</f>
        <v>2170755414</v>
      </c>
      <c r="F32" s="2" t="s">
        <v>17</v>
      </c>
      <c r="G32" s="2" t="s">
        <v>18</v>
      </c>
      <c r="H32" s="2" t="s">
        <v>19</v>
      </c>
      <c r="I32" s="2" t="s">
        <v>73</v>
      </c>
      <c r="J32" s="2" t="s">
        <v>74</v>
      </c>
      <c r="K32" s="2" t="s">
        <v>22</v>
      </c>
      <c r="L32" s="3">
        <v>0.38055555555555554</v>
      </c>
      <c r="M32" s="2" t="s">
        <v>195</v>
      </c>
      <c r="N32" s="2" t="s">
        <v>500</v>
      </c>
      <c r="O32" s="2"/>
    </row>
    <row r="33" spans="1:15" x14ac:dyDescent="0.25">
      <c r="A33" s="2" t="s">
        <v>15</v>
      </c>
      <c r="B33" s="2" t="str">
        <f>"FES1162767480"</f>
        <v>FES1162767480</v>
      </c>
      <c r="C33" s="2" t="s">
        <v>16</v>
      </c>
      <c r="D33" s="2">
        <v>1</v>
      </c>
      <c r="E33" s="2" t="str">
        <f>"2170755495"</f>
        <v>2170755495</v>
      </c>
      <c r="F33" s="2" t="s">
        <v>17</v>
      </c>
      <c r="G33" s="2" t="s">
        <v>18</v>
      </c>
      <c r="H33" s="2" t="s">
        <v>25</v>
      </c>
      <c r="I33" s="2" t="s">
        <v>26</v>
      </c>
      <c r="J33" s="2" t="s">
        <v>75</v>
      </c>
      <c r="K33" s="2" t="s">
        <v>22</v>
      </c>
      <c r="L33" s="3">
        <v>0.35000000000000003</v>
      </c>
      <c r="M33" s="2" t="s">
        <v>196</v>
      </c>
      <c r="N33" s="2" t="s">
        <v>500</v>
      </c>
      <c r="O33" s="2"/>
    </row>
    <row r="34" spans="1:15" x14ac:dyDescent="0.25">
      <c r="A34" s="2" t="s">
        <v>15</v>
      </c>
      <c r="B34" s="2" t="str">
        <f>"FES1162767386"</f>
        <v>FES1162767386</v>
      </c>
      <c r="C34" s="2" t="s">
        <v>16</v>
      </c>
      <c r="D34" s="2">
        <v>1</v>
      </c>
      <c r="E34" s="2" t="str">
        <f>"2170754465"</f>
        <v>2170754465</v>
      </c>
      <c r="F34" s="2" t="s">
        <v>17</v>
      </c>
      <c r="G34" s="2" t="s">
        <v>18</v>
      </c>
      <c r="H34" s="2" t="s">
        <v>19</v>
      </c>
      <c r="I34" s="2" t="s">
        <v>73</v>
      </c>
      <c r="J34" s="2" t="s">
        <v>76</v>
      </c>
      <c r="K34" s="2" t="s">
        <v>22</v>
      </c>
      <c r="L34" s="3">
        <v>0.36805555555555558</v>
      </c>
      <c r="M34" s="2" t="s">
        <v>197</v>
      </c>
      <c r="N34" s="2" t="s">
        <v>500</v>
      </c>
      <c r="O34" s="2"/>
    </row>
    <row r="35" spans="1:15" x14ac:dyDescent="0.25">
      <c r="A35" s="2" t="s">
        <v>15</v>
      </c>
      <c r="B35" s="2" t="str">
        <f>"FES1162767394"</f>
        <v>FES1162767394</v>
      </c>
      <c r="C35" s="2" t="s">
        <v>16</v>
      </c>
      <c r="D35" s="2">
        <v>1</v>
      </c>
      <c r="E35" s="2" t="str">
        <f>"2170755378"</f>
        <v>2170755378</v>
      </c>
      <c r="F35" s="2" t="s">
        <v>17</v>
      </c>
      <c r="G35" s="2" t="s">
        <v>18</v>
      </c>
      <c r="H35" s="2" t="s">
        <v>19</v>
      </c>
      <c r="I35" s="2" t="s">
        <v>20</v>
      </c>
      <c r="J35" s="2" t="s">
        <v>77</v>
      </c>
      <c r="K35" s="2" t="s">
        <v>22</v>
      </c>
      <c r="L35" s="3">
        <v>0.3430555555555555</v>
      </c>
      <c r="M35" s="2" t="s">
        <v>198</v>
      </c>
      <c r="N35" s="2" t="s">
        <v>500</v>
      </c>
      <c r="O35" s="2"/>
    </row>
    <row r="36" spans="1:15" x14ac:dyDescent="0.25">
      <c r="A36" s="2" t="s">
        <v>15</v>
      </c>
      <c r="B36" s="2" t="str">
        <f>"FES1162767384"</f>
        <v>FES1162767384</v>
      </c>
      <c r="C36" s="2" t="s">
        <v>16</v>
      </c>
      <c r="D36" s="2">
        <v>1</v>
      </c>
      <c r="E36" s="2" t="str">
        <f>"2170754416"</f>
        <v>2170754416</v>
      </c>
      <c r="F36" s="2" t="s">
        <v>17</v>
      </c>
      <c r="G36" s="2" t="s">
        <v>18</v>
      </c>
      <c r="H36" s="2" t="s">
        <v>78</v>
      </c>
      <c r="I36" s="2" t="s">
        <v>79</v>
      </c>
      <c r="J36" s="2" t="s">
        <v>80</v>
      </c>
      <c r="K36" s="2" t="s">
        <v>22</v>
      </c>
      <c r="L36" s="3">
        <v>0.38750000000000001</v>
      </c>
      <c r="M36" s="2" t="s">
        <v>199</v>
      </c>
      <c r="N36" s="2" t="s">
        <v>500</v>
      </c>
      <c r="O36" s="2"/>
    </row>
    <row r="37" spans="1:15" x14ac:dyDescent="0.25">
      <c r="A37" s="2" t="s">
        <v>15</v>
      </c>
      <c r="B37" s="2" t="str">
        <f>"FES1162767395"</f>
        <v>FES1162767395</v>
      </c>
      <c r="C37" s="2" t="s">
        <v>16</v>
      </c>
      <c r="D37" s="2">
        <v>1</v>
      </c>
      <c r="E37" s="2" t="str">
        <f>"2170755379"</f>
        <v>2170755379</v>
      </c>
      <c r="F37" s="2" t="s">
        <v>17</v>
      </c>
      <c r="G37" s="2" t="s">
        <v>18</v>
      </c>
      <c r="H37" s="2" t="s">
        <v>78</v>
      </c>
      <c r="I37" s="2" t="s">
        <v>79</v>
      </c>
      <c r="J37" s="2" t="s">
        <v>81</v>
      </c>
      <c r="K37" s="2" t="s">
        <v>22</v>
      </c>
      <c r="L37" s="3">
        <v>0.34722222222222227</v>
      </c>
      <c r="M37" s="2" t="s">
        <v>200</v>
      </c>
      <c r="N37" s="2" t="s">
        <v>500</v>
      </c>
      <c r="O37" s="2"/>
    </row>
    <row r="38" spans="1:15" x14ac:dyDescent="0.25">
      <c r="A38" s="2" t="s">
        <v>15</v>
      </c>
      <c r="B38" s="2" t="str">
        <f>"FES1162767442"</f>
        <v>FES1162767442</v>
      </c>
      <c r="C38" s="2" t="s">
        <v>16</v>
      </c>
      <c r="D38" s="2">
        <v>1</v>
      </c>
      <c r="E38" s="2" t="str">
        <f>"2170755453"</f>
        <v>2170755453</v>
      </c>
      <c r="F38" s="2" t="s">
        <v>17</v>
      </c>
      <c r="G38" s="2" t="s">
        <v>18</v>
      </c>
      <c r="H38" s="2" t="s">
        <v>18</v>
      </c>
      <c r="I38" s="2" t="s">
        <v>82</v>
      </c>
      <c r="J38" s="2" t="s">
        <v>83</v>
      </c>
      <c r="K38" s="2" t="s">
        <v>22</v>
      </c>
      <c r="L38" s="3">
        <v>0.39583333333333331</v>
      </c>
      <c r="M38" s="2" t="s">
        <v>201</v>
      </c>
      <c r="N38" s="2" t="s">
        <v>500</v>
      </c>
      <c r="O38" s="2"/>
    </row>
    <row r="39" spans="1:15" x14ac:dyDescent="0.25">
      <c r="A39" s="2" t="s">
        <v>15</v>
      </c>
      <c r="B39" s="2" t="str">
        <f>"FES1162767405"</f>
        <v>FES1162767405</v>
      </c>
      <c r="C39" s="2" t="s">
        <v>16</v>
      </c>
      <c r="D39" s="2">
        <v>1</v>
      </c>
      <c r="E39" s="2" t="str">
        <f>"2170755399"</f>
        <v>2170755399</v>
      </c>
      <c r="F39" s="2" t="s">
        <v>17</v>
      </c>
      <c r="G39" s="2" t="s">
        <v>18</v>
      </c>
      <c r="H39" s="2" t="s">
        <v>78</v>
      </c>
      <c r="I39" s="2" t="s">
        <v>79</v>
      </c>
      <c r="J39" s="2" t="s">
        <v>84</v>
      </c>
      <c r="K39" s="2" t="s">
        <v>22</v>
      </c>
      <c r="L39" s="3">
        <v>0.41666666666666669</v>
      </c>
      <c r="M39" s="2" t="s">
        <v>202</v>
      </c>
      <c r="N39" s="2" t="s">
        <v>500</v>
      </c>
      <c r="O39" s="2"/>
    </row>
    <row r="40" spans="1:15" x14ac:dyDescent="0.25">
      <c r="A40" s="2" t="s">
        <v>15</v>
      </c>
      <c r="B40" s="2" t="str">
        <f>"FES1162767414"</f>
        <v>FES1162767414</v>
      </c>
      <c r="C40" s="2" t="s">
        <v>16</v>
      </c>
      <c r="D40" s="2">
        <v>1</v>
      </c>
      <c r="E40" s="2" t="str">
        <f>"2170755412"</f>
        <v>2170755412</v>
      </c>
      <c r="F40" s="2" t="s">
        <v>17</v>
      </c>
      <c r="G40" s="2" t="s">
        <v>18</v>
      </c>
      <c r="H40" s="2" t="s">
        <v>19</v>
      </c>
      <c r="I40" s="2" t="s">
        <v>85</v>
      </c>
      <c r="J40" s="2" t="s">
        <v>86</v>
      </c>
      <c r="K40" s="2" t="s">
        <v>22</v>
      </c>
      <c r="L40" s="3">
        <v>0.52708333333333335</v>
      </c>
      <c r="M40" s="2" t="s">
        <v>203</v>
      </c>
      <c r="N40" s="2" t="s">
        <v>500</v>
      </c>
      <c r="O40" s="2"/>
    </row>
    <row r="41" spans="1:15" x14ac:dyDescent="0.25">
      <c r="A41" s="2" t="s">
        <v>15</v>
      </c>
      <c r="B41" s="2" t="str">
        <f>"FES1162767392"</f>
        <v>FES1162767392</v>
      </c>
      <c r="C41" s="2" t="s">
        <v>16</v>
      </c>
      <c r="D41" s="2">
        <v>1</v>
      </c>
      <c r="E41" s="2" t="str">
        <f>"2170755356"</f>
        <v>2170755356</v>
      </c>
      <c r="F41" s="2" t="s">
        <v>17</v>
      </c>
      <c r="G41" s="2" t="s">
        <v>18</v>
      </c>
      <c r="H41" s="2" t="s">
        <v>18</v>
      </c>
      <c r="I41" s="2" t="s">
        <v>65</v>
      </c>
      <c r="J41" s="2" t="s">
        <v>87</v>
      </c>
      <c r="K41" s="2" t="s">
        <v>22</v>
      </c>
      <c r="L41" s="3">
        <v>0.3444444444444445</v>
      </c>
      <c r="M41" s="2" t="s">
        <v>204</v>
      </c>
      <c r="N41" s="2" t="s">
        <v>500</v>
      </c>
      <c r="O41" s="2"/>
    </row>
    <row r="42" spans="1:15" x14ac:dyDescent="0.25">
      <c r="A42" s="2" t="s">
        <v>15</v>
      </c>
      <c r="B42" s="2" t="str">
        <f>"FES1162767430"</f>
        <v>FES1162767430</v>
      </c>
      <c r="C42" s="2" t="s">
        <v>16</v>
      </c>
      <c r="D42" s="2">
        <v>1</v>
      </c>
      <c r="E42" s="2" t="str">
        <f>"2170755433"</f>
        <v>2170755433</v>
      </c>
      <c r="F42" s="2" t="s">
        <v>205</v>
      </c>
      <c r="G42" s="2" t="s">
        <v>206</v>
      </c>
      <c r="H42" s="2" t="s">
        <v>207</v>
      </c>
      <c r="I42" s="2" t="s">
        <v>89</v>
      </c>
      <c r="J42" s="2" t="s">
        <v>90</v>
      </c>
      <c r="K42" s="2" t="s">
        <v>22</v>
      </c>
      <c r="L42" s="3">
        <v>0.45416666666666666</v>
      </c>
      <c r="M42" s="2" t="s">
        <v>208</v>
      </c>
      <c r="N42" s="2" t="s">
        <v>500</v>
      </c>
      <c r="O42" s="2"/>
    </row>
    <row r="43" spans="1:15" x14ac:dyDescent="0.25">
      <c r="A43" s="2" t="s">
        <v>15</v>
      </c>
      <c r="B43" s="2" t="str">
        <f>"FES1162767489"</f>
        <v>FES1162767489</v>
      </c>
      <c r="C43" s="2" t="s">
        <v>16</v>
      </c>
      <c r="D43" s="2">
        <v>1</v>
      </c>
      <c r="E43" s="2" t="str">
        <f>"2170755118"</f>
        <v>2170755118</v>
      </c>
      <c r="F43" s="2" t="s">
        <v>17</v>
      </c>
      <c r="G43" s="2" t="s">
        <v>18</v>
      </c>
      <c r="H43" s="2" t="s">
        <v>36</v>
      </c>
      <c r="I43" s="2" t="s">
        <v>67</v>
      </c>
      <c r="J43" s="2" t="s">
        <v>68</v>
      </c>
      <c r="K43" s="2" t="s">
        <v>22</v>
      </c>
      <c r="L43" s="3">
        <v>0.43958333333333338</v>
      </c>
      <c r="M43" s="2" t="s">
        <v>190</v>
      </c>
      <c r="N43" s="2" t="s">
        <v>500</v>
      </c>
      <c r="O43" s="2"/>
    </row>
    <row r="44" spans="1:15" x14ac:dyDescent="0.25">
      <c r="A44" s="2" t="s">
        <v>15</v>
      </c>
      <c r="B44" s="2" t="str">
        <f>"FES1162767383"</f>
        <v>FES1162767383</v>
      </c>
      <c r="C44" s="2" t="s">
        <v>16</v>
      </c>
      <c r="D44" s="2">
        <v>1</v>
      </c>
      <c r="E44" s="2" t="str">
        <f>"2170754402"</f>
        <v>2170754402</v>
      </c>
      <c r="F44" s="2" t="s">
        <v>17</v>
      </c>
      <c r="G44" s="2" t="s">
        <v>18</v>
      </c>
      <c r="H44" s="2" t="s">
        <v>18</v>
      </c>
      <c r="I44" s="2" t="s">
        <v>57</v>
      </c>
      <c r="J44" s="2" t="s">
        <v>91</v>
      </c>
      <c r="K44" s="2" t="s">
        <v>22</v>
      </c>
      <c r="L44" s="3">
        <v>0.40902777777777777</v>
      </c>
      <c r="M44" s="2" t="s">
        <v>209</v>
      </c>
      <c r="N44" s="2" t="s">
        <v>500</v>
      </c>
      <c r="O44" s="2"/>
    </row>
    <row r="45" spans="1:15" x14ac:dyDescent="0.25">
      <c r="A45" s="2" t="s">
        <v>15</v>
      </c>
      <c r="B45" s="2" t="str">
        <f>"FES1162767424"</f>
        <v>FES1162767424</v>
      </c>
      <c r="C45" s="2" t="s">
        <v>16</v>
      </c>
      <c r="D45" s="2">
        <v>1</v>
      </c>
      <c r="E45" s="2" t="str">
        <f>"2170755424"</f>
        <v>2170755424</v>
      </c>
      <c r="F45" s="2" t="s">
        <v>17</v>
      </c>
      <c r="G45" s="2" t="s">
        <v>18</v>
      </c>
      <c r="H45" s="2" t="s">
        <v>18</v>
      </c>
      <c r="I45" s="2" t="s">
        <v>57</v>
      </c>
      <c r="J45" s="2" t="s">
        <v>92</v>
      </c>
      <c r="K45" s="2" t="s">
        <v>174</v>
      </c>
      <c r="L45" s="3">
        <v>0.41666666666666669</v>
      </c>
      <c r="M45" s="2" t="s">
        <v>266</v>
      </c>
      <c r="N45" s="2" t="s">
        <v>500</v>
      </c>
      <c r="O45" s="2"/>
    </row>
    <row r="46" spans="1:15" x14ac:dyDescent="0.25">
      <c r="A46" s="2" t="s">
        <v>15</v>
      </c>
      <c r="B46" s="2" t="str">
        <f>"FES1162767389"</f>
        <v>FES1162767389</v>
      </c>
      <c r="C46" s="2" t="s">
        <v>16</v>
      </c>
      <c r="D46" s="2">
        <v>1</v>
      </c>
      <c r="E46" s="2" t="str">
        <f>"2170754593"</f>
        <v>2170754593</v>
      </c>
      <c r="F46" s="2" t="s">
        <v>17</v>
      </c>
      <c r="G46" s="2" t="s">
        <v>18</v>
      </c>
      <c r="H46" s="2" t="s">
        <v>18</v>
      </c>
      <c r="I46" s="2" t="s">
        <v>63</v>
      </c>
      <c r="J46" s="2" t="s">
        <v>93</v>
      </c>
      <c r="K46" s="2" t="s">
        <v>22</v>
      </c>
      <c r="L46" s="3">
        <v>0.39027777777777778</v>
      </c>
      <c r="M46" s="2" t="s">
        <v>210</v>
      </c>
      <c r="N46" s="2" t="s">
        <v>500</v>
      </c>
      <c r="O46" s="2"/>
    </row>
    <row r="47" spans="1:15" x14ac:dyDescent="0.25">
      <c r="A47" s="2" t="s">
        <v>15</v>
      </c>
      <c r="B47" s="2" t="str">
        <f>"FES1162767417"</f>
        <v>FES1162767417</v>
      </c>
      <c r="C47" s="2" t="s">
        <v>16</v>
      </c>
      <c r="D47" s="2">
        <v>1</v>
      </c>
      <c r="E47" s="2" t="str">
        <f>"2170755383"</f>
        <v>2170755383</v>
      </c>
      <c r="F47" s="2" t="s">
        <v>17</v>
      </c>
      <c r="G47" s="2" t="s">
        <v>18</v>
      </c>
      <c r="H47" s="2" t="s">
        <v>18</v>
      </c>
      <c r="I47" s="2" t="s">
        <v>52</v>
      </c>
      <c r="J47" s="2" t="s">
        <v>53</v>
      </c>
      <c r="K47" s="2" t="s">
        <v>22</v>
      </c>
      <c r="L47" s="3">
        <v>0.41666666666666669</v>
      </c>
      <c r="M47" s="2" t="s">
        <v>211</v>
      </c>
      <c r="N47" s="2" t="s">
        <v>500</v>
      </c>
      <c r="O47" s="2"/>
    </row>
    <row r="48" spans="1:15" x14ac:dyDescent="0.25">
      <c r="A48" s="2" t="s">
        <v>15</v>
      </c>
      <c r="B48" s="2" t="str">
        <f>"FES1162767385"</f>
        <v>FES1162767385</v>
      </c>
      <c r="C48" s="2" t="s">
        <v>16</v>
      </c>
      <c r="D48" s="2">
        <v>1</v>
      </c>
      <c r="E48" s="2" t="str">
        <f>"2170754459"</f>
        <v>2170754459</v>
      </c>
      <c r="F48" s="2" t="s">
        <v>17</v>
      </c>
      <c r="G48" s="2" t="s">
        <v>18</v>
      </c>
      <c r="H48" s="2" t="s">
        <v>25</v>
      </c>
      <c r="I48" s="2" t="s">
        <v>26</v>
      </c>
      <c r="J48" s="2" t="s">
        <v>94</v>
      </c>
      <c r="K48" s="2" t="s">
        <v>22</v>
      </c>
      <c r="L48" s="3">
        <v>0.41666666666666669</v>
      </c>
      <c r="M48" s="2" t="s">
        <v>212</v>
      </c>
      <c r="N48" s="2" t="s">
        <v>500</v>
      </c>
      <c r="O48" s="2"/>
    </row>
    <row r="49" spans="1:15" x14ac:dyDescent="0.25">
      <c r="A49" s="2" t="s">
        <v>15</v>
      </c>
      <c r="B49" s="2" t="str">
        <f>"FES1162767419"</f>
        <v>FES1162767419</v>
      </c>
      <c r="C49" s="2" t="s">
        <v>16</v>
      </c>
      <c r="D49" s="2">
        <v>1</v>
      </c>
      <c r="E49" s="2" t="str">
        <f>"2170755385"</f>
        <v>2170755385</v>
      </c>
      <c r="F49" s="2" t="s">
        <v>17</v>
      </c>
      <c r="G49" s="2" t="s">
        <v>18</v>
      </c>
      <c r="H49" s="2" t="s">
        <v>18</v>
      </c>
      <c r="I49" s="2" t="s">
        <v>95</v>
      </c>
      <c r="J49" s="2" t="s">
        <v>96</v>
      </c>
      <c r="K49" s="2" t="s">
        <v>22</v>
      </c>
      <c r="L49" s="3">
        <v>0.43055555555555558</v>
      </c>
      <c r="M49" s="2" t="s">
        <v>213</v>
      </c>
      <c r="N49" s="2" t="s">
        <v>500</v>
      </c>
      <c r="O49" s="2"/>
    </row>
    <row r="50" spans="1:15" x14ac:dyDescent="0.25">
      <c r="A50" s="2" t="s">
        <v>15</v>
      </c>
      <c r="B50" s="2" t="str">
        <f>"FES1162767378"</f>
        <v>FES1162767378</v>
      </c>
      <c r="C50" s="2" t="s">
        <v>16</v>
      </c>
      <c r="D50" s="2">
        <v>1</v>
      </c>
      <c r="E50" s="2" t="str">
        <f>"2170754082"</f>
        <v>2170754082</v>
      </c>
      <c r="F50" s="2" t="s">
        <v>17</v>
      </c>
      <c r="G50" s="2" t="s">
        <v>18</v>
      </c>
      <c r="H50" s="2" t="s">
        <v>25</v>
      </c>
      <c r="I50" s="2" t="s">
        <v>26</v>
      </c>
      <c r="J50" s="2" t="s">
        <v>27</v>
      </c>
      <c r="K50" s="2" t="s">
        <v>22</v>
      </c>
      <c r="L50" s="3">
        <v>0.37083333333333335</v>
      </c>
      <c r="M50" s="2" t="s">
        <v>171</v>
      </c>
      <c r="N50" s="2" t="s">
        <v>500</v>
      </c>
      <c r="O50" s="2"/>
    </row>
    <row r="51" spans="1:15" x14ac:dyDescent="0.25">
      <c r="A51" s="2" t="s">
        <v>15</v>
      </c>
      <c r="B51" s="2" t="str">
        <f>"FES1162767393"</f>
        <v>FES1162767393</v>
      </c>
      <c r="C51" s="2" t="s">
        <v>16</v>
      </c>
      <c r="D51" s="2">
        <v>1</v>
      </c>
      <c r="E51" s="2" t="str">
        <f>"2170755372"</f>
        <v>2170755372</v>
      </c>
      <c r="F51" s="2" t="s">
        <v>17</v>
      </c>
      <c r="G51" s="2" t="s">
        <v>18</v>
      </c>
      <c r="H51" s="2" t="s">
        <v>18</v>
      </c>
      <c r="I51" s="2" t="s">
        <v>63</v>
      </c>
      <c r="J51" s="2" t="s">
        <v>64</v>
      </c>
      <c r="K51" s="2" t="s">
        <v>22</v>
      </c>
      <c r="L51" s="3">
        <v>0.33888888888888885</v>
      </c>
      <c r="M51" s="2" t="s">
        <v>188</v>
      </c>
      <c r="N51" s="2" t="s">
        <v>500</v>
      </c>
      <c r="O51" s="2"/>
    </row>
    <row r="52" spans="1:15" x14ac:dyDescent="0.25">
      <c r="A52" s="2" t="s">
        <v>15</v>
      </c>
      <c r="B52" s="2" t="str">
        <f>"FES1162767397"</f>
        <v>FES1162767397</v>
      </c>
      <c r="C52" s="2" t="s">
        <v>16</v>
      </c>
      <c r="D52" s="2">
        <v>1</v>
      </c>
      <c r="E52" s="2" t="str">
        <f>"2170755388"</f>
        <v>2170755388</v>
      </c>
      <c r="F52" s="2" t="s">
        <v>17</v>
      </c>
      <c r="G52" s="2" t="s">
        <v>18</v>
      </c>
      <c r="H52" s="2" t="s">
        <v>18</v>
      </c>
      <c r="I52" s="2" t="s">
        <v>97</v>
      </c>
      <c r="J52" s="2" t="s">
        <v>98</v>
      </c>
      <c r="K52" s="2" t="s">
        <v>22</v>
      </c>
      <c r="L52" s="3">
        <v>0.40902777777777777</v>
      </c>
      <c r="M52" s="2" t="s">
        <v>214</v>
      </c>
      <c r="N52" s="2" t="s">
        <v>500</v>
      </c>
      <c r="O52" s="2"/>
    </row>
    <row r="53" spans="1:15" x14ac:dyDescent="0.25">
      <c r="A53" s="2" t="s">
        <v>15</v>
      </c>
      <c r="B53" s="2" t="str">
        <f>"FES1162767401"</f>
        <v>FES1162767401</v>
      </c>
      <c r="C53" s="2" t="s">
        <v>16</v>
      </c>
      <c r="D53" s="2">
        <v>1</v>
      </c>
      <c r="E53" s="2" t="str">
        <f>"2170755391"</f>
        <v>2170755391</v>
      </c>
      <c r="F53" s="2" t="s">
        <v>17</v>
      </c>
      <c r="G53" s="2" t="s">
        <v>18</v>
      </c>
      <c r="H53" s="2" t="s">
        <v>18</v>
      </c>
      <c r="I53" s="2" t="s">
        <v>48</v>
      </c>
      <c r="J53" s="2" t="s">
        <v>49</v>
      </c>
      <c r="K53" s="2" t="s">
        <v>22</v>
      </c>
      <c r="L53" s="3">
        <v>0.375</v>
      </c>
      <c r="M53" s="2" t="s">
        <v>215</v>
      </c>
      <c r="N53" s="2" t="s">
        <v>500</v>
      </c>
      <c r="O53" s="2"/>
    </row>
    <row r="54" spans="1:15" x14ac:dyDescent="0.25">
      <c r="A54" s="2" t="s">
        <v>15</v>
      </c>
      <c r="B54" s="2" t="str">
        <f>"FES1162767407"</f>
        <v>FES1162767407</v>
      </c>
      <c r="C54" s="2" t="s">
        <v>16</v>
      </c>
      <c r="D54" s="2">
        <v>1</v>
      </c>
      <c r="E54" s="2" t="str">
        <f>"2170755402"</f>
        <v>2170755402</v>
      </c>
      <c r="F54" s="2" t="s">
        <v>17</v>
      </c>
      <c r="G54" s="2" t="s">
        <v>18</v>
      </c>
      <c r="H54" s="2" t="s">
        <v>18</v>
      </c>
      <c r="I54" s="2" t="s">
        <v>57</v>
      </c>
      <c r="J54" s="2" t="s">
        <v>99</v>
      </c>
      <c r="K54" s="2" t="s">
        <v>22</v>
      </c>
      <c r="L54" s="3">
        <v>0.41666666666666669</v>
      </c>
      <c r="M54" s="2" t="s">
        <v>216</v>
      </c>
      <c r="N54" s="2" t="s">
        <v>500</v>
      </c>
      <c r="O54" s="2"/>
    </row>
    <row r="55" spans="1:15" x14ac:dyDescent="0.25">
      <c r="A55" s="2" t="s">
        <v>15</v>
      </c>
      <c r="B55" s="2" t="str">
        <f>"FES1162767443"</f>
        <v>FES1162767443</v>
      </c>
      <c r="C55" s="2" t="s">
        <v>16</v>
      </c>
      <c r="D55" s="2">
        <v>1</v>
      </c>
      <c r="E55" s="2" t="str">
        <f>"2170755451"</f>
        <v>2170755451</v>
      </c>
      <c r="F55" s="2" t="s">
        <v>17</v>
      </c>
      <c r="G55" s="2" t="s">
        <v>18</v>
      </c>
      <c r="H55" s="2" t="s">
        <v>25</v>
      </c>
      <c r="I55" s="2" t="s">
        <v>26</v>
      </c>
      <c r="J55" s="2" t="s">
        <v>100</v>
      </c>
      <c r="K55" s="2" t="s">
        <v>22</v>
      </c>
      <c r="L55" s="3">
        <v>0.3430555555555555</v>
      </c>
      <c r="M55" s="2" t="s">
        <v>217</v>
      </c>
      <c r="N55" s="2" t="s">
        <v>500</v>
      </c>
      <c r="O55" s="2"/>
    </row>
    <row r="56" spans="1:15" x14ac:dyDescent="0.25">
      <c r="A56" s="2" t="s">
        <v>15</v>
      </c>
      <c r="B56" s="2" t="str">
        <f>"FES1162767505"</f>
        <v>FES1162767505</v>
      </c>
      <c r="C56" s="2" t="s">
        <v>16</v>
      </c>
      <c r="D56" s="2">
        <v>1</v>
      </c>
      <c r="E56" s="2" t="str">
        <f>"2170755518"</f>
        <v>2170755518</v>
      </c>
      <c r="F56" s="2" t="s">
        <v>17</v>
      </c>
      <c r="G56" s="2" t="s">
        <v>18</v>
      </c>
      <c r="H56" s="2" t="s">
        <v>18</v>
      </c>
      <c r="I56" s="2" t="s">
        <v>63</v>
      </c>
      <c r="J56" s="2" t="s">
        <v>101</v>
      </c>
      <c r="K56" s="2" t="s">
        <v>22</v>
      </c>
      <c r="L56" s="3">
        <v>0.375</v>
      </c>
      <c r="M56" s="2" t="s">
        <v>218</v>
      </c>
      <c r="N56" s="2" t="s">
        <v>500</v>
      </c>
      <c r="O56" s="2"/>
    </row>
    <row r="57" spans="1:15" x14ac:dyDescent="0.25">
      <c r="A57" s="2" t="s">
        <v>15</v>
      </c>
      <c r="B57" s="2" t="str">
        <f>"FES1162767503"</f>
        <v>FES1162767503</v>
      </c>
      <c r="C57" s="2" t="s">
        <v>16</v>
      </c>
      <c r="D57" s="2">
        <v>1</v>
      </c>
      <c r="E57" s="2" t="str">
        <f>"2170755523"</f>
        <v>2170755523</v>
      </c>
      <c r="F57" s="2" t="s">
        <v>17</v>
      </c>
      <c r="G57" s="2" t="s">
        <v>18</v>
      </c>
      <c r="H57" s="2" t="s">
        <v>18</v>
      </c>
      <c r="I57" s="2" t="s">
        <v>65</v>
      </c>
      <c r="J57" s="2" t="s">
        <v>66</v>
      </c>
      <c r="K57" s="2" t="s">
        <v>22</v>
      </c>
      <c r="L57" s="3">
        <v>0.32847222222222222</v>
      </c>
      <c r="M57" s="2" t="s">
        <v>189</v>
      </c>
      <c r="N57" s="2" t="s">
        <v>500</v>
      </c>
      <c r="O57" s="2"/>
    </row>
    <row r="58" spans="1:15" x14ac:dyDescent="0.25">
      <c r="A58" s="2" t="s">
        <v>15</v>
      </c>
      <c r="B58" s="2" t="str">
        <f>"FES1162767476"</f>
        <v>FES1162767476</v>
      </c>
      <c r="C58" s="2" t="s">
        <v>16</v>
      </c>
      <c r="D58" s="2">
        <v>1</v>
      </c>
      <c r="E58" s="2" t="str">
        <f>"2170754686"</f>
        <v>2170754686</v>
      </c>
      <c r="F58" s="2" t="s">
        <v>17</v>
      </c>
      <c r="G58" s="2" t="s">
        <v>18</v>
      </c>
      <c r="H58" s="2" t="s">
        <v>36</v>
      </c>
      <c r="I58" s="2" t="s">
        <v>37</v>
      </c>
      <c r="J58" s="2" t="s">
        <v>102</v>
      </c>
      <c r="K58" s="2" t="s">
        <v>22</v>
      </c>
      <c r="L58" s="3">
        <v>0.38194444444444442</v>
      </c>
      <c r="M58" s="2" t="s">
        <v>219</v>
      </c>
      <c r="N58" s="2" t="s">
        <v>500</v>
      </c>
      <c r="O58" s="2"/>
    </row>
    <row r="59" spans="1:15" x14ac:dyDescent="0.25">
      <c r="A59" s="2" t="s">
        <v>15</v>
      </c>
      <c r="B59" s="2" t="str">
        <f>"FES1162767472"</f>
        <v>FES1162767472</v>
      </c>
      <c r="C59" s="2" t="s">
        <v>16</v>
      </c>
      <c r="D59" s="2">
        <v>1</v>
      </c>
      <c r="E59" s="2" t="str">
        <f>"2170755479"</f>
        <v>2170755479</v>
      </c>
      <c r="F59" s="2" t="s">
        <v>17</v>
      </c>
      <c r="G59" s="2" t="s">
        <v>18</v>
      </c>
      <c r="H59" s="2" t="s">
        <v>18</v>
      </c>
      <c r="I59" s="2" t="s">
        <v>57</v>
      </c>
      <c r="J59" s="2" t="s">
        <v>103</v>
      </c>
      <c r="K59" s="2" t="s">
        <v>22</v>
      </c>
      <c r="L59" s="3">
        <v>0.28402777777777777</v>
      </c>
      <c r="M59" s="2" t="s">
        <v>220</v>
      </c>
      <c r="N59" s="2" t="s">
        <v>500</v>
      </c>
      <c r="O59" s="2"/>
    </row>
    <row r="60" spans="1:15" x14ac:dyDescent="0.25">
      <c r="A60" s="2" t="s">
        <v>15</v>
      </c>
      <c r="B60" s="2" t="str">
        <f>"FES1162767499"</f>
        <v>FES1162767499</v>
      </c>
      <c r="C60" s="2" t="s">
        <v>16</v>
      </c>
      <c r="D60" s="2">
        <v>1</v>
      </c>
      <c r="E60" s="2" t="str">
        <f>"2170755514"</f>
        <v>2170755514</v>
      </c>
      <c r="F60" s="2" t="s">
        <v>17</v>
      </c>
      <c r="G60" s="2" t="s">
        <v>18</v>
      </c>
      <c r="H60" s="2" t="s">
        <v>36</v>
      </c>
      <c r="I60" s="2" t="s">
        <v>37</v>
      </c>
      <c r="J60" s="2" t="s">
        <v>104</v>
      </c>
      <c r="K60" s="2" t="s">
        <v>22</v>
      </c>
      <c r="L60" s="3">
        <v>0.34166666666666662</v>
      </c>
      <c r="M60" s="2" t="s">
        <v>221</v>
      </c>
      <c r="N60" s="2" t="s">
        <v>500</v>
      </c>
      <c r="O60" s="2"/>
    </row>
    <row r="61" spans="1:15" x14ac:dyDescent="0.25">
      <c r="A61" s="2" t="s">
        <v>15</v>
      </c>
      <c r="B61" s="2" t="str">
        <f>"FES1162767485"</f>
        <v>FES1162767485</v>
      </c>
      <c r="C61" s="2" t="s">
        <v>16</v>
      </c>
      <c r="D61" s="2">
        <v>1</v>
      </c>
      <c r="E61" s="2" t="str">
        <f>"2170755505"</f>
        <v>2170755505</v>
      </c>
      <c r="F61" s="2" t="s">
        <v>17</v>
      </c>
      <c r="G61" s="2" t="s">
        <v>18</v>
      </c>
      <c r="H61" s="2" t="s">
        <v>18</v>
      </c>
      <c r="I61" s="2" t="s">
        <v>63</v>
      </c>
      <c r="J61" s="2" t="s">
        <v>101</v>
      </c>
      <c r="K61" s="2" t="s">
        <v>22</v>
      </c>
      <c r="L61" s="3">
        <v>0.3743055555555555</v>
      </c>
      <c r="M61" s="2" t="s">
        <v>218</v>
      </c>
      <c r="N61" s="2" t="s">
        <v>500</v>
      </c>
      <c r="O61" s="2"/>
    </row>
    <row r="62" spans="1:15" x14ac:dyDescent="0.25">
      <c r="A62" s="2" t="s">
        <v>15</v>
      </c>
      <c r="B62" s="2" t="str">
        <f>"FES1162767490"</f>
        <v>FES1162767490</v>
      </c>
      <c r="C62" s="2" t="s">
        <v>16</v>
      </c>
      <c r="D62" s="2">
        <v>1</v>
      </c>
      <c r="E62" s="2" t="str">
        <f>"2170755145"</f>
        <v>2170755145</v>
      </c>
      <c r="F62" s="2" t="s">
        <v>17</v>
      </c>
      <c r="G62" s="2" t="s">
        <v>18</v>
      </c>
      <c r="H62" s="2" t="s">
        <v>18</v>
      </c>
      <c r="I62" s="2" t="s">
        <v>105</v>
      </c>
      <c r="J62" s="2" t="s">
        <v>106</v>
      </c>
      <c r="K62" s="2" t="s">
        <v>22</v>
      </c>
      <c r="L62" s="3">
        <v>0.4375</v>
      </c>
      <c r="M62" s="2" t="s">
        <v>222</v>
      </c>
      <c r="N62" s="2" t="s">
        <v>500</v>
      </c>
      <c r="O62" s="2"/>
    </row>
    <row r="63" spans="1:15" x14ac:dyDescent="0.25">
      <c r="A63" s="2" t="s">
        <v>15</v>
      </c>
      <c r="B63" s="2" t="str">
        <f>"FES1162767391"</f>
        <v>FES1162767391</v>
      </c>
      <c r="C63" s="2" t="s">
        <v>16</v>
      </c>
      <c r="D63" s="2">
        <v>1</v>
      </c>
      <c r="E63" s="2" t="str">
        <f>"2170755098"</f>
        <v>2170755098</v>
      </c>
      <c r="F63" s="2" t="s">
        <v>17</v>
      </c>
      <c r="G63" s="2" t="s">
        <v>18</v>
      </c>
      <c r="H63" s="2" t="s">
        <v>18</v>
      </c>
      <c r="I63" s="2" t="s">
        <v>107</v>
      </c>
      <c r="J63" s="2" t="s">
        <v>108</v>
      </c>
      <c r="K63" s="2" t="s">
        <v>22</v>
      </c>
      <c r="L63" s="3">
        <v>0.2986111111111111</v>
      </c>
      <c r="M63" s="2" t="s">
        <v>223</v>
      </c>
      <c r="N63" s="2" t="s">
        <v>500</v>
      </c>
      <c r="O63" s="2"/>
    </row>
    <row r="64" spans="1:15" x14ac:dyDescent="0.25">
      <c r="A64" s="2" t="s">
        <v>15</v>
      </c>
      <c r="B64" s="2" t="str">
        <f>"FES1162767474"</f>
        <v>FES1162767474</v>
      </c>
      <c r="C64" s="2" t="s">
        <v>16</v>
      </c>
      <c r="D64" s="2">
        <v>1</v>
      </c>
      <c r="E64" s="2" t="str">
        <f>"2170754491"</f>
        <v>2170754491</v>
      </c>
      <c r="F64" s="2" t="s">
        <v>17</v>
      </c>
      <c r="G64" s="2" t="s">
        <v>18</v>
      </c>
      <c r="H64" s="2" t="s">
        <v>88</v>
      </c>
      <c r="I64" s="2" t="s">
        <v>109</v>
      </c>
      <c r="J64" s="2" t="s">
        <v>110</v>
      </c>
      <c r="K64" s="2" t="s">
        <v>22</v>
      </c>
      <c r="L64" s="3">
        <v>0.36805555555555558</v>
      </c>
      <c r="M64" s="2" t="s">
        <v>224</v>
      </c>
      <c r="N64" s="2" t="s">
        <v>500</v>
      </c>
      <c r="O64" s="2"/>
    </row>
    <row r="65" spans="1:15" x14ac:dyDescent="0.25">
      <c r="A65" s="2" t="s">
        <v>15</v>
      </c>
      <c r="B65" s="2" t="str">
        <f>"FES1162767497"</f>
        <v>FES1162767497</v>
      </c>
      <c r="C65" s="2" t="s">
        <v>16</v>
      </c>
      <c r="D65" s="2">
        <v>1</v>
      </c>
      <c r="E65" s="2" t="str">
        <f>"2170755428"</f>
        <v>2170755428</v>
      </c>
      <c r="F65" s="2" t="s">
        <v>17</v>
      </c>
      <c r="G65" s="2" t="s">
        <v>18</v>
      </c>
      <c r="H65" s="2" t="s">
        <v>19</v>
      </c>
      <c r="I65" s="2" t="s">
        <v>111</v>
      </c>
      <c r="J65" s="2" t="s">
        <v>112</v>
      </c>
      <c r="K65" s="2" t="s">
        <v>22</v>
      </c>
      <c r="L65" s="3">
        <v>0.42638888888888887</v>
      </c>
      <c r="M65" s="2" t="s">
        <v>225</v>
      </c>
      <c r="N65" s="2" t="s">
        <v>500</v>
      </c>
      <c r="O65" s="2"/>
    </row>
    <row r="66" spans="1:15" x14ac:dyDescent="0.25">
      <c r="A66" s="2" t="s">
        <v>15</v>
      </c>
      <c r="B66" s="2" t="str">
        <f>"FES1162767402"</f>
        <v>FES1162767402</v>
      </c>
      <c r="C66" s="2" t="s">
        <v>16</v>
      </c>
      <c r="D66" s="2">
        <v>1</v>
      </c>
      <c r="E66" s="2" t="str">
        <f>"2170755396"</f>
        <v>2170755396</v>
      </c>
      <c r="F66" s="2" t="s">
        <v>17</v>
      </c>
      <c r="G66" s="2" t="s">
        <v>18</v>
      </c>
      <c r="H66" s="2" t="s">
        <v>78</v>
      </c>
      <c r="I66" s="2" t="s">
        <v>79</v>
      </c>
      <c r="J66" s="2" t="s">
        <v>113</v>
      </c>
      <c r="K66" s="2" t="s">
        <v>22</v>
      </c>
      <c r="L66" s="3">
        <v>0.39166666666666666</v>
      </c>
      <c r="M66" s="2" t="s">
        <v>226</v>
      </c>
      <c r="N66" s="2" t="s">
        <v>500</v>
      </c>
      <c r="O66" s="2"/>
    </row>
    <row r="67" spans="1:15" x14ac:dyDescent="0.25">
      <c r="A67" s="2" t="s">
        <v>15</v>
      </c>
      <c r="B67" s="2" t="str">
        <f>"FES1162767379"</f>
        <v>FES1162767379</v>
      </c>
      <c r="C67" s="2" t="s">
        <v>16</v>
      </c>
      <c r="D67" s="2">
        <v>1</v>
      </c>
      <c r="E67" s="2" t="str">
        <f>"2170754089"</f>
        <v>2170754089</v>
      </c>
      <c r="F67" s="2" t="s">
        <v>17</v>
      </c>
      <c r="G67" s="2" t="s">
        <v>18</v>
      </c>
      <c r="H67" s="2" t="s">
        <v>18</v>
      </c>
      <c r="I67" s="2" t="s">
        <v>65</v>
      </c>
      <c r="J67" s="2" t="s">
        <v>87</v>
      </c>
      <c r="K67" s="2" t="s">
        <v>22</v>
      </c>
      <c r="L67" s="3">
        <v>0.3444444444444445</v>
      </c>
      <c r="M67" s="2" t="s">
        <v>204</v>
      </c>
      <c r="N67" s="2" t="s">
        <v>500</v>
      </c>
      <c r="O67" s="2"/>
    </row>
    <row r="68" spans="1:15" x14ac:dyDescent="0.25">
      <c r="A68" s="2" t="s">
        <v>15</v>
      </c>
      <c r="B68" s="2" t="str">
        <f>"FES1162767502"</f>
        <v>FES1162767502</v>
      </c>
      <c r="C68" s="2" t="s">
        <v>16</v>
      </c>
      <c r="D68" s="2">
        <v>1</v>
      </c>
      <c r="E68" s="2" t="str">
        <f>"2170755517"</f>
        <v>2170755517</v>
      </c>
      <c r="F68" s="2" t="s">
        <v>17</v>
      </c>
      <c r="G68" s="2" t="s">
        <v>18</v>
      </c>
      <c r="H68" s="2" t="s">
        <v>19</v>
      </c>
      <c r="I68" s="2" t="s">
        <v>114</v>
      </c>
      <c r="J68" s="2" t="s">
        <v>66</v>
      </c>
      <c r="K68" s="2" t="s">
        <v>174</v>
      </c>
      <c r="L68" s="3">
        <v>0.53333333333333333</v>
      </c>
      <c r="M68" s="2" t="s">
        <v>267</v>
      </c>
      <c r="N68" s="2" t="s">
        <v>500</v>
      </c>
      <c r="O68" s="2"/>
    </row>
    <row r="69" spans="1:15" x14ac:dyDescent="0.25">
      <c r="A69" s="2" t="s">
        <v>15</v>
      </c>
      <c r="B69" s="2" t="str">
        <f>"FES1162767484"</f>
        <v>FES1162767484</v>
      </c>
      <c r="C69" s="2" t="s">
        <v>16</v>
      </c>
      <c r="D69" s="2">
        <v>1</v>
      </c>
      <c r="E69" s="2" t="str">
        <f>"2170755501"</f>
        <v>2170755501</v>
      </c>
      <c r="F69" s="2" t="s">
        <v>17</v>
      </c>
      <c r="G69" s="2" t="s">
        <v>18</v>
      </c>
      <c r="H69" s="2" t="s">
        <v>18</v>
      </c>
      <c r="I69" s="2" t="s">
        <v>46</v>
      </c>
      <c r="J69" s="2" t="s">
        <v>115</v>
      </c>
      <c r="K69" s="2" t="s">
        <v>22</v>
      </c>
      <c r="L69" s="3">
        <v>0.36458333333333331</v>
      </c>
      <c r="M69" s="2" t="s">
        <v>227</v>
      </c>
      <c r="N69" s="2" t="s">
        <v>500</v>
      </c>
      <c r="O69" s="2"/>
    </row>
    <row r="70" spans="1:15" x14ac:dyDescent="0.25">
      <c r="A70" s="2" t="s">
        <v>15</v>
      </c>
      <c r="B70" s="2" t="str">
        <f>"FES1162767456"</f>
        <v>FES1162767456</v>
      </c>
      <c r="C70" s="2" t="s">
        <v>16</v>
      </c>
      <c r="D70" s="2">
        <v>2</v>
      </c>
      <c r="E70" s="2" t="str">
        <f>"2170755473"</f>
        <v>2170755473</v>
      </c>
      <c r="F70" s="2" t="s">
        <v>17</v>
      </c>
      <c r="G70" s="2" t="s">
        <v>18</v>
      </c>
      <c r="H70" s="2" t="s">
        <v>18</v>
      </c>
      <c r="I70" s="2" t="s">
        <v>116</v>
      </c>
      <c r="J70" s="2" t="s">
        <v>117</v>
      </c>
      <c r="K70" s="2" t="s">
        <v>22</v>
      </c>
      <c r="L70" s="3">
        <v>0.39652777777777781</v>
      </c>
      <c r="M70" s="2" t="s">
        <v>228</v>
      </c>
      <c r="N70" s="2" t="s">
        <v>500</v>
      </c>
      <c r="O70" s="2"/>
    </row>
    <row r="71" spans="1:15" x14ac:dyDescent="0.25">
      <c r="A71" s="2" t="s">
        <v>15</v>
      </c>
      <c r="B71" s="2" t="str">
        <f>"FES1162767453"</f>
        <v>FES1162767453</v>
      </c>
      <c r="C71" s="2" t="s">
        <v>16</v>
      </c>
      <c r="D71" s="2">
        <v>1</v>
      </c>
      <c r="E71" s="2" t="str">
        <f>"2170755470"</f>
        <v>2170755470</v>
      </c>
      <c r="F71" s="2" t="s">
        <v>17</v>
      </c>
      <c r="G71" s="2" t="s">
        <v>18</v>
      </c>
      <c r="H71" s="2" t="s">
        <v>78</v>
      </c>
      <c r="I71" s="2" t="s">
        <v>79</v>
      </c>
      <c r="J71" s="2" t="s">
        <v>118</v>
      </c>
      <c r="K71" s="2" t="s">
        <v>22</v>
      </c>
      <c r="L71" s="3">
        <v>0.3923611111111111</v>
      </c>
      <c r="M71" s="2" t="s">
        <v>229</v>
      </c>
      <c r="N71" s="2" t="s">
        <v>500</v>
      </c>
      <c r="O71" s="2"/>
    </row>
    <row r="72" spans="1:15" x14ac:dyDescent="0.25">
      <c r="A72" s="2" t="s">
        <v>15</v>
      </c>
      <c r="B72" s="2" t="str">
        <f>"FES1162767464"</f>
        <v>FES1162767464</v>
      </c>
      <c r="C72" s="2" t="s">
        <v>16</v>
      </c>
      <c r="D72" s="2">
        <v>1</v>
      </c>
      <c r="E72" s="2" t="str">
        <f>"2170755481"</f>
        <v>2170755481</v>
      </c>
      <c r="F72" s="2" t="s">
        <v>17</v>
      </c>
      <c r="G72" s="2" t="s">
        <v>18</v>
      </c>
      <c r="H72" s="2" t="s">
        <v>18</v>
      </c>
      <c r="I72" s="2" t="s">
        <v>57</v>
      </c>
      <c r="J72" s="2" t="s">
        <v>119</v>
      </c>
      <c r="K72" s="2" t="s">
        <v>22</v>
      </c>
      <c r="L72" s="3">
        <v>0.37777777777777777</v>
      </c>
      <c r="M72" s="2" t="s">
        <v>230</v>
      </c>
      <c r="N72" s="2" t="s">
        <v>500</v>
      </c>
      <c r="O72" s="2"/>
    </row>
    <row r="73" spans="1:15" x14ac:dyDescent="0.25">
      <c r="A73" s="2" t="s">
        <v>15</v>
      </c>
      <c r="B73" s="2" t="str">
        <f>"FES1162767483"</f>
        <v>FES1162767483</v>
      </c>
      <c r="C73" s="2" t="s">
        <v>16</v>
      </c>
      <c r="D73" s="2">
        <v>1</v>
      </c>
      <c r="E73" s="2" t="str">
        <f>"2170755499"</f>
        <v>2170755499</v>
      </c>
      <c r="F73" s="2" t="s">
        <v>17</v>
      </c>
      <c r="G73" s="2" t="s">
        <v>18</v>
      </c>
      <c r="H73" s="2" t="s">
        <v>120</v>
      </c>
      <c r="I73" s="2" t="s">
        <v>121</v>
      </c>
      <c r="J73" s="2" t="s">
        <v>122</v>
      </c>
      <c r="K73" s="2" t="s">
        <v>22</v>
      </c>
      <c r="L73" s="3">
        <v>0.45833333333333331</v>
      </c>
      <c r="M73" s="2" t="s">
        <v>231</v>
      </c>
      <c r="N73" s="2" t="s">
        <v>500</v>
      </c>
      <c r="O73" s="2"/>
    </row>
    <row r="74" spans="1:15" x14ac:dyDescent="0.25">
      <c r="A74" s="2" t="s">
        <v>15</v>
      </c>
      <c r="B74" s="2" t="str">
        <f>"FES1162767487"</f>
        <v>FES1162767487</v>
      </c>
      <c r="C74" s="2" t="s">
        <v>16</v>
      </c>
      <c r="D74" s="2">
        <v>1</v>
      </c>
      <c r="E74" s="2" t="str">
        <f>"2170755067"</f>
        <v>2170755067</v>
      </c>
      <c r="F74" s="2" t="s">
        <v>17</v>
      </c>
      <c r="G74" s="2" t="s">
        <v>18</v>
      </c>
      <c r="H74" s="2" t="s">
        <v>19</v>
      </c>
      <c r="I74" s="2" t="s">
        <v>20</v>
      </c>
      <c r="J74" s="2" t="s">
        <v>77</v>
      </c>
      <c r="K74" s="2" t="s">
        <v>22</v>
      </c>
      <c r="L74" s="3">
        <v>0.3430555555555555</v>
      </c>
      <c r="M74" s="2" t="s">
        <v>198</v>
      </c>
      <c r="N74" s="2" t="s">
        <v>500</v>
      </c>
      <c r="O74" s="2"/>
    </row>
    <row r="75" spans="1:15" x14ac:dyDescent="0.25">
      <c r="A75" s="2" t="s">
        <v>15</v>
      </c>
      <c r="B75" s="2" t="str">
        <f>"FES11672767437"</f>
        <v>FES11672767437</v>
      </c>
      <c r="C75" s="2" t="s">
        <v>16</v>
      </c>
      <c r="D75" s="2">
        <v>1</v>
      </c>
      <c r="E75" s="2" t="str">
        <f>"2170755444"</f>
        <v>2170755444</v>
      </c>
      <c r="F75" s="2" t="s">
        <v>17</v>
      </c>
      <c r="G75" s="2" t="s">
        <v>18</v>
      </c>
      <c r="H75" s="2" t="s">
        <v>19</v>
      </c>
      <c r="I75" s="2" t="s">
        <v>20</v>
      </c>
      <c r="J75" s="2" t="s">
        <v>123</v>
      </c>
      <c r="K75" s="2" t="s">
        <v>22</v>
      </c>
      <c r="L75" s="3">
        <v>0.4375</v>
      </c>
      <c r="M75" s="2" t="s">
        <v>232</v>
      </c>
      <c r="N75" s="2" t="s">
        <v>500</v>
      </c>
      <c r="O75" s="2"/>
    </row>
    <row r="76" spans="1:15" x14ac:dyDescent="0.25">
      <c r="A76" s="2" t="s">
        <v>15</v>
      </c>
      <c r="B76" s="2" t="str">
        <f>"FES1162767444"</f>
        <v>FES1162767444</v>
      </c>
      <c r="C76" s="2" t="s">
        <v>16</v>
      </c>
      <c r="D76" s="2">
        <v>1</v>
      </c>
      <c r="E76" s="2" t="str">
        <f>"2170755454"</f>
        <v>2170755454</v>
      </c>
      <c r="F76" s="2" t="s">
        <v>17</v>
      </c>
      <c r="G76" s="2" t="s">
        <v>18</v>
      </c>
      <c r="H76" s="2" t="s">
        <v>19</v>
      </c>
      <c r="I76" s="2" t="s">
        <v>20</v>
      </c>
      <c r="J76" s="2" t="s">
        <v>123</v>
      </c>
      <c r="K76" s="2" t="s">
        <v>22</v>
      </c>
      <c r="L76" s="3">
        <v>0.41944444444444445</v>
      </c>
      <c r="M76" s="2" t="s">
        <v>233</v>
      </c>
      <c r="N76" s="2" t="s">
        <v>500</v>
      </c>
      <c r="O76" s="2"/>
    </row>
    <row r="77" spans="1:15" x14ac:dyDescent="0.25">
      <c r="A77" s="2" t="s">
        <v>15</v>
      </c>
      <c r="B77" s="2" t="str">
        <f>"FES1162767446"</f>
        <v>FES1162767446</v>
      </c>
      <c r="C77" s="2" t="s">
        <v>16</v>
      </c>
      <c r="D77" s="2">
        <v>1</v>
      </c>
      <c r="E77" s="2" t="str">
        <f>"2170755465"</f>
        <v>2170755465</v>
      </c>
      <c r="F77" s="2" t="s">
        <v>17</v>
      </c>
      <c r="G77" s="2" t="s">
        <v>18</v>
      </c>
      <c r="H77" s="2" t="s">
        <v>18</v>
      </c>
      <c r="I77" s="2" t="s">
        <v>46</v>
      </c>
      <c r="J77" s="2" t="s">
        <v>124</v>
      </c>
      <c r="K77" s="2" t="s">
        <v>22</v>
      </c>
      <c r="L77" s="3">
        <v>0.43402777777777773</v>
      </c>
      <c r="M77" s="2" t="s">
        <v>234</v>
      </c>
      <c r="N77" s="2" t="s">
        <v>500</v>
      </c>
      <c r="O77" s="2"/>
    </row>
    <row r="78" spans="1:15" x14ac:dyDescent="0.25">
      <c r="A78" s="2" t="s">
        <v>15</v>
      </c>
      <c r="B78" s="2" t="str">
        <f>"FES1162767433"</f>
        <v>FES1162767433</v>
      </c>
      <c r="C78" s="2" t="s">
        <v>16</v>
      </c>
      <c r="D78" s="2">
        <v>1</v>
      </c>
      <c r="E78" s="2" t="str">
        <f>"2170755438"</f>
        <v>2170755438</v>
      </c>
      <c r="F78" s="2" t="s">
        <v>17</v>
      </c>
      <c r="G78" s="2" t="s">
        <v>18</v>
      </c>
      <c r="H78" s="2" t="s">
        <v>19</v>
      </c>
      <c r="I78" s="2" t="s">
        <v>20</v>
      </c>
      <c r="J78" s="2" t="s">
        <v>77</v>
      </c>
      <c r="K78" s="2" t="s">
        <v>22</v>
      </c>
      <c r="L78" s="3">
        <v>0.34375</v>
      </c>
      <c r="M78" s="2" t="s">
        <v>198</v>
      </c>
      <c r="N78" s="2" t="s">
        <v>500</v>
      </c>
      <c r="O78" s="2"/>
    </row>
    <row r="79" spans="1:15" x14ac:dyDescent="0.25">
      <c r="A79" s="2" t="s">
        <v>15</v>
      </c>
      <c r="B79" s="2" t="str">
        <f>"FES1162767491"</f>
        <v>FES1162767491</v>
      </c>
      <c r="C79" s="2" t="s">
        <v>16</v>
      </c>
      <c r="D79" s="2">
        <v>1</v>
      </c>
      <c r="E79" s="2" t="str">
        <f>"2170755507"</f>
        <v>2170755507</v>
      </c>
      <c r="F79" s="2" t="s">
        <v>17</v>
      </c>
      <c r="G79" s="2" t="s">
        <v>18</v>
      </c>
      <c r="H79" s="2" t="s">
        <v>25</v>
      </c>
      <c r="I79" s="2" t="s">
        <v>125</v>
      </c>
      <c r="J79" s="2" t="s">
        <v>126</v>
      </c>
      <c r="K79" s="2" t="s">
        <v>22</v>
      </c>
      <c r="L79" s="3">
        <v>0.43194444444444446</v>
      </c>
      <c r="M79" s="2" t="s">
        <v>235</v>
      </c>
      <c r="N79" s="2" t="s">
        <v>500</v>
      </c>
      <c r="O79" s="2"/>
    </row>
    <row r="80" spans="1:15" x14ac:dyDescent="0.25">
      <c r="A80" s="2" t="s">
        <v>15</v>
      </c>
      <c r="B80" s="2" t="str">
        <f>"FES1162767449"</f>
        <v>FES1162767449</v>
      </c>
      <c r="C80" s="2" t="s">
        <v>16</v>
      </c>
      <c r="D80" s="2">
        <v>1</v>
      </c>
      <c r="E80" s="2" t="str">
        <f>"2170755420"</f>
        <v>2170755420</v>
      </c>
      <c r="F80" s="2" t="s">
        <v>17</v>
      </c>
      <c r="G80" s="2" t="s">
        <v>18</v>
      </c>
      <c r="H80" s="2" t="s">
        <v>25</v>
      </c>
      <c r="I80" s="2" t="s">
        <v>26</v>
      </c>
      <c r="J80" s="2" t="s">
        <v>127</v>
      </c>
      <c r="K80" s="2" t="s">
        <v>22</v>
      </c>
      <c r="L80" s="3">
        <v>0.42430555555555555</v>
      </c>
      <c r="M80" s="2" t="s">
        <v>181</v>
      </c>
      <c r="N80" s="2" t="s">
        <v>500</v>
      </c>
      <c r="O80" s="2"/>
    </row>
    <row r="81" spans="1:15" x14ac:dyDescent="0.25">
      <c r="A81" s="2" t="s">
        <v>15</v>
      </c>
      <c r="B81" s="2" t="str">
        <f>"FES1162767451"</f>
        <v>FES1162767451</v>
      </c>
      <c r="C81" s="2" t="s">
        <v>16</v>
      </c>
      <c r="D81" s="2">
        <v>1</v>
      </c>
      <c r="E81" s="2" t="str">
        <f>"2170755467"</f>
        <v>2170755467</v>
      </c>
      <c r="F81" s="2" t="s">
        <v>17</v>
      </c>
      <c r="G81" s="2" t="s">
        <v>18</v>
      </c>
      <c r="H81" s="2" t="s">
        <v>19</v>
      </c>
      <c r="I81" s="2" t="s">
        <v>20</v>
      </c>
      <c r="J81" s="2" t="s">
        <v>128</v>
      </c>
      <c r="K81" s="2" t="s">
        <v>22</v>
      </c>
      <c r="L81" s="3">
        <v>0.31944444444444448</v>
      </c>
      <c r="M81" s="2" t="s">
        <v>129</v>
      </c>
      <c r="N81" s="2" t="s">
        <v>500</v>
      </c>
      <c r="O81" s="2"/>
    </row>
    <row r="82" spans="1:15" x14ac:dyDescent="0.25">
      <c r="A82" s="2" t="s">
        <v>15</v>
      </c>
      <c r="B82" s="2" t="str">
        <f>"FES1162767498"</f>
        <v>FES1162767498</v>
      </c>
      <c r="C82" s="2" t="s">
        <v>16</v>
      </c>
      <c r="D82" s="2">
        <v>1</v>
      </c>
      <c r="E82" s="2" t="str">
        <f>"2170755512"</f>
        <v>2170755512</v>
      </c>
      <c r="F82" s="2" t="s">
        <v>17</v>
      </c>
      <c r="G82" s="2" t="s">
        <v>18</v>
      </c>
      <c r="H82" s="2" t="s">
        <v>19</v>
      </c>
      <c r="I82" s="2" t="s">
        <v>130</v>
      </c>
      <c r="J82" s="2" t="s">
        <v>131</v>
      </c>
      <c r="K82" s="2" t="s">
        <v>22</v>
      </c>
      <c r="L82" s="3">
        <v>0.4152777777777778</v>
      </c>
      <c r="M82" s="2" t="s">
        <v>236</v>
      </c>
      <c r="N82" s="2" t="s">
        <v>500</v>
      </c>
      <c r="O82" s="2"/>
    </row>
    <row r="83" spans="1:15" x14ac:dyDescent="0.25">
      <c r="A83" s="2" t="s">
        <v>15</v>
      </c>
      <c r="B83" s="2" t="str">
        <f>"FES1162767457"</f>
        <v>FES1162767457</v>
      </c>
      <c r="C83" s="2" t="s">
        <v>16</v>
      </c>
      <c r="D83" s="2">
        <v>1</v>
      </c>
      <c r="E83" s="2" t="str">
        <f>"2170755476"</f>
        <v>2170755476</v>
      </c>
      <c r="F83" s="2" t="s">
        <v>17</v>
      </c>
      <c r="G83" s="2" t="s">
        <v>18</v>
      </c>
      <c r="H83" s="2" t="s">
        <v>19</v>
      </c>
      <c r="I83" s="2" t="s">
        <v>132</v>
      </c>
      <c r="J83" s="2" t="s">
        <v>133</v>
      </c>
      <c r="K83" s="2" t="s">
        <v>22</v>
      </c>
      <c r="L83" s="3">
        <v>0.50972222222222219</v>
      </c>
      <c r="M83" s="2" t="s">
        <v>237</v>
      </c>
      <c r="N83" s="2" t="s">
        <v>500</v>
      </c>
      <c r="O83" s="2"/>
    </row>
    <row r="84" spans="1:15" x14ac:dyDescent="0.25">
      <c r="A84" s="2" t="s">
        <v>15</v>
      </c>
      <c r="B84" s="2" t="str">
        <f>"FES1162767454"</f>
        <v>FES1162767454</v>
      </c>
      <c r="C84" s="2" t="s">
        <v>16</v>
      </c>
      <c r="D84" s="2">
        <v>1</v>
      </c>
      <c r="E84" s="2" t="str">
        <f>"2170755472"</f>
        <v>2170755472</v>
      </c>
      <c r="F84" s="2" t="s">
        <v>17</v>
      </c>
      <c r="G84" s="2" t="s">
        <v>18</v>
      </c>
      <c r="H84" s="2" t="s">
        <v>25</v>
      </c>
      <c r="I84" s="2" t="s">
        <v>26</v>
      </c>
      <c r="J84" s="2" t="s">
        <v>27</v>
      </c>
      <c r="K84" s="2" t="s">
        <v>22</v>
      </c>
      <c r="L84" s="3">
        <v>0.37152777777777773</v>
      </c>
      <c r="M84" s="2" t="s">
        <v>171</v>
      </c>
      <c r="N84" s="2" t="s">
        <v>500</v>
      </c>
      <c r="O84" s="2"/>
    </row>
    <row r="85" spans="1:15" x14ac:dyDescent="0.25">
      <c r="A85" s="2" t="s">
        <v>15</v>
      </c>
      <c r="B85" s="2" t="str">
        <f>"FES1162767475"</f>
        <v>FES1162767475</v>
      </c>
      <c r="C85" s="2" t="s">
        <v>16</v>
      </c>
      <c r="D85" s="2">
        <v>1</v>
      </c>
      <c r="E85" s="2" t="str">
        <f>"2170754501"</f>
        <v>2170754501</v>
      </c>
      <c r="F85" s="2" t="s">
        <v>17</v>
      </c>
      <c r="G85" s="2" t="s">
        <v>18</v>
      </c>
      <c r="H85" s="2" t="s">
        <v>36</v>
      </c>
      <c r="I85" s="2" t="s">
        <v>134</v>
      </c>
      <c r="J85" s="2" t="s">
        <v>135</v>
      </c>
      <c r="K85" s="2" t="s">
        <v>22</v>
      </c>
      <c r="L85" s="3">
        <v>0.52500000000000002</v>
      </c>
      <c r="M85" s="2" t="s">
        <v>238</v>
      </c>
      <c r="N85" s="2" t="s">
        <v>500</v>
      </c>
      <c r="O85" s="2"/>
    </row>
    <row r="86" spans="1:15" x14ac:dyDescent="0.25">
      <c r="A86" s="2" t="s">
        <v>15</v>
      </c>
      <c r="B86" s="2" t="str">
        <f>"FES1162767524"</f>
        <v>FES1162767524</v>
      </c>
      <c r="C86" s="2" t="s">
        <v>16</v>
      </c>
      <c r="D86" s="2">
        <v>1</v>
      </c>
      <c r="E86" s="2" t="str">
        <f>"2170755553"</f>
        <v>2170755553</v>
      </c>
      <c r="F86" s="2" t="s">
        <v>17</v>
      </c>
      <c r="G86" s="2" t="s">
        <v>18</v>
      </c>
      <c r="H86" s="2" t="s">
        <v>19</v>
      </c>
      <c r="I86" s="2" t="s">
        <v>136</v>
      </c>
      <c r="J86" s="2" t="s">
        <v>137</v>
      </c>
      <c r="K86" s="2" t="s">
        <v>22</v>
      </c>
      <c r="L86" s="3">
        <v>0.6020833333333333</v>
      </c>
      <c r="M86" s="2" t="s">
        <v>239</v>
      </c>
      <c r="N86" s="2" t="s">
        <v>500</v>
      </c>
      <c r="O86" s="2"/>
    </row>
    <row r="87" spans="1:15" x14ac:dyDescent="0.25">
      <c r="A87" s="2" t="s">
        <v>15</v>
      </c>
      <c r="B87" s="2" t="str">
        <f>"FES1162767488"</f>
        <v>FES1162767488</v>
      </c>
      <c r="C87" s="2" t="s">
        <v>16</v>
      </c>
      <c r="D87" s="2">
        <v>1</v>
      </c>
      <c r="E87" s="2" t="str">
        <f>"2170755087"</f>
        <v>2170755087</v>
      </c>
      <c r="F87" s="2" t="s">
        <v>17</v>
      </c>
      <c r="G87" s="2" t="s">
        <v>18</v>
      </c>
      <c r="H87" s="2" t="s">
        <v>19</v>
      </c>
      <c r="I87" s="2" t="s">
        <v>114</v>
      </c>
      <c r="J87" s="2" t="s">
        <v>138</v>
      </c>
      <c r="K87" s="2" t="s">
        <v>22</v>
      </c>
      <c r="L87" s="3">
        <v>0.41250000000000003</v>
      </c>
      <c r="M87" s="2" t="s">
        <v>240</v>
      </c>
      <c r="N87" s="2" t="s">
        <v>500</v>
      </c>
      <c r="O87" s="2"/>
    </row>
    <row r="88" spans="1:15" x14ac:dyDescent="0.25">
      <c r="A88" s="2" t="s">
        <v>15</v>
      </c>
      <c r="B88" s="2" t="str">
        <f>"FES1162767473"</f>
        <v>FES1162767473</v>
      </c>
      <c r="C88" s="2" t="s">
        <v>16</v>
      </c>
      <c r="D88" s="2">
        <v>3</v>
      </c>
      <c r="E88" s="2" t="str">
        <f>"2170755493"</f>
        <v>2170755493</v>
      </c>
      <c r="F88" s="2" t="s">
        <v>205</v>
      </c>
      <c r="G88" s="2" t="s">
        <v>206</v>
      </c>
      <c r="H88" s="2" t="s">
        <v>206</v>
      </c>
      <c r="I88" s="2" t="s">
        <v>46</v>
      </c>
      <c r="J88" s="2" t="s">
        <v>139</v>
      </c>
      <c r="K88" s="2" t="s">
        <v>22</v>
      </c>
      <c r="L88" s="3">
        <v>0.375</v>
      </c>
      <c r="M88" s="2" t="s">
        <v>140</v>
      </c>
      <c r="N88" s="2" t="s">
        <v>500</v>
      </c>
      <c r="O88" s="2"/>
    </row>
    <row r="89" spans="1:15" x14ac:dyDescent="0.25">
      <c r="A89" s="2" t="s">
        <v>15</v>
      </c>
      <c r="B89" s="2" t="str">
        <f>"FES1162767492"</f>
        <v>FES1162767492</v>
      </c>
      <c r="C89" s="2" t="s">
        <v>16</v>
      </c>
      <c r="D89" s="2">
        <v>1</v>
      </c>
      <c r="E89" s="2" t="str">
        <f>"2170755508"</f>
        <v>2170755508</v>
      </c>
      <c r="F89" s="2" t="s">
        <v>17</v>
      </c>
      <c r="G89" s="2" t="s">
        <v>18</v>
      </c>
      <c r="H89" s="2" t="s">
        <v>18</v>
      </c>
      <c r="I89" s="2" t="s">
        <v>82</v>
      </c>
      <c r="J89" s="2" t="s">
        <v>83</v>
      </c>
      <c r="K89" s="2" t="s">
        <v>22</v>
      </c>
      <c r="L89" s="3">
        <v>0.39583333333333331</v>
      </c>
      <c r="M89" s="2" t="s">
        <v>176</v>
      </c>
      <c r="N89" s="2" t="s">
        <v>500</v>
      </c>
      <c r="O89" s="2"/>
    </row>
    <row r="90" spans="1:15" x14ac:dyDescent="0.25">
      <c r="A90" s="2" t="s">
        <v>15</v>
      </c>
      <c r="B90" s="2" t="str">
        <f>"FES1162767477"</f>
        <v>FES1162767477</v>
      </c>
      <c r="C90" s="2" t="s">
        <v>16</v>
      </c>
      <c r="D90" s="2">
        <v>1</v>
      </c>
      <c r="E90" s="2" t="str">
        <f>"2170754871"</f>
        <v>2170754871</v>
      </c>
      <c r="F90" s="2" t="s">
        <v>17</v>
      </c>
      <c r="G90" s="2" t="s">
        <v>18</v>
      </c>
      <c r="H90" s="2" t="s">
        <v>88</v>
      </c>
      <c r="I90" s="2" t="s">
        <v>109</v>
      </c>
      <c r="J90" s="2" t="s">
        <v>141</v>
      </c>
      <c r="K90" s="2" t="s">
        <v>22</v>
      </c>
      <c r="L90" s="3">
        <v>0.3520833333333333</v>
      </c>
      <c r="M90" s="2" t="s">
        <v>241</v>
      </c>
      <c r="N90" s="2" t="s">
        <v>500</v>
      </c>
      <c r="O90" s="2"/>
    </row>
    <row r="91" spans="1:15" x14ac:dyDescent="0.25">
      <c r="A91" s="2" t="s">
        <v>15</v>
      </c>
      <c r="B91" s="2" t="str">
        <f>"FES1162767500"</f>
        <v>FES1162767500</v>
      </c>
      <c r="C91" s="2" t="s">
        <v>16</v>
      </c>
      <c r="D91" s="2">
        <v>1</v>
      </c>
      <c r="E91" s="2" t="str">
        <f>"2170755522"</f>
        <v>2170755522</v>
      </c>
      <c r="F91" s="2" t="s">
        <v>17</v>
      </c>
      <c r="G91" s="2" t="s">
        <v>18</v>
      </c>
      <c r="H91" s="2" t="s">
        <v>19</v>
      </c>
      <c r="I91" s="2" t="s">
        <v>20</v>
      </c>
      <c r="J91" s="2" t="s">
        <v>29</v>
      </c>
      <c r="K91" s="2" t="s">
        <v>22</v>
      </c>
      <c r="L91" s="3">
        <v>0.36180555555555555</v>
      </c>
      <c r="M91" s="2" t="s">
        <v>173</v>
      </c>
      <c r="N91" s="2" t="s">
        <v>500</v>
      </c>
      <c r="O91" s="2"/>
    </row>
    <row r="92" spans="1:15" x14ac:dyDescent="0.25">
      <c r="A92" s="2" t="s">
        <v>15</v>
      </c>
      <c r="B92" s="2" t="str">
        <f>"FES1162767512"</f>
        <v>FES1162767512</v>
      </c>
      <c r="C92" s="2" t="s">
        <v>16</v>
      </c>
      <c r="D92" s="2">
        <v>1</v>
      </c>
      <c r="E92" s="2" t="str">
        <f>"2170755536"</f>
        <v>2170755536</v>
      </c>
      <c r="F92" s="2" t="s">
        <v>17</v>
      </c>
      <c r="G92" s="2" t="s">
        <v>18</v>
      </c>
      <c r="H92" s="2" t="s">
        <v>78</v>
      </c>
      <c r="I92" s="2" t="s">
        <v>79</v>
      </c>
      <c r="J92" s="2" t="s">
        <v>84</v>
      </c>
      <c r="K92" s="2" t="s">
        <v>22</v>
      </c>
      <c r="L92" s="3">
        <v>0.41666666666666669</v>
      </c>
      <c r="M92" s="2" t="s">
        <v>202</v>
      </c>
      <c r="N92" s="2" t="s">
        <v>500</v>
      </c>
      <c r="O92" s="2"/>
    </row>
    <row r="93" spans="1:15" x14ac:dyDescent="0.25">
      <c r="A93" s="2" t="s">
        <v>15</v>
      </c>
      <c r="B93" s="2" t="str">
        <f>"FES1162767514"</f>
        <v>FES1162767514</v>
      </c>
      <c r="C93" s="2" t="s">
        <v>16</v>
      </c>
      <c r="D93" s="2">
        <v>1</v>
      </c>
      <c r="E93" s="2" t="str">
        <f>"2170755538"</f>
        <v>2170755538</v>
      </c>
      <c r="F93" s="2" t="s">
        <v>17</v>
      </c>
      <c r="G93" s="2" t="s">
        <v>18</v>
      </c>
      <c r="H93" s="2" t="s">
        <v>36</v>
      </c>
      <c r="I93" s="2" t="s">
        <v>67</v>
      </c>
      <c r="J93" s="2" t="s">
        <v>68</v>
      </c>
      <c r="K93" s="2" t="s">
        <v>22</v>
      </c>
      <c r="L93" s="3">
        <v>0.43958333333333338</v>
      </c>
      <c r="M93" s="2" t="s">
        <v>190</v>
      </c>
      <c r="N93" s="2" t="s">
        <v>500</v>
      </c>
      <c r="O93" s="2"/>
    </row>
    <row r="94" spans="1:15" x14ac:dyDescent="0.25">
      <c r="A94" s="2" t="s">
        <v>15</v>
      </c>
      <c r="B94" s="2" t="str">
        <f>"FES1162767509"</f>
        <v>FES1162767509</v>
      </c>
      <c r="C94" s="2" t="s">
        <v>16</v>
      </c>
      <c r="D94" s="2">
        <v>1</v>
      </c>
      <c r="E94" s="2" t="str">
        <f>"2170755041"</f>
        <v>2170755041</v>
      </c>
      <c r="F94" s="2" t="s">
        <v>205</v>
      </c>
      <c r="G94" s="2" t="s">
        <v>206</v>
      </c>
      <c r="H94" s="2" t="s">
        <v>206</v>
      </c>
      <c r="I94" s="2" t="s">
        <v>63</v>
      </c>
      <c r="J94" s="2" t="s">
        <v>142</v>
      </c>
      <c r="K94" s="2" t="s">
        <v>22</v>
      </c>
      <c r="L94" s="3">
        <v>0.40902777777777777</v>
      </c>
      <c r="M94" s="2" t="s">
        <v>242</v>
      </c>
      <c r="N94" s="2" t="s">
        <v>500</v>
      </c>
      <c r="O94" s="2"/>
    </row>
    <row r="95" spans="1:15" x14ac:dyDescent="0.25">
      <c r="A95" s="2" t="s">
        <v>15</v>
      </c>
      <c r="B95" s="2" t="str">
        <f>"FES1162767517"</f>
        <v>FES1162767517</v>
      </c>
      <c r="C95" s="2" t="s">
        <v>16</v>
      </c>
      <c r="D95" s="2">
        <v>1</v>
      </c>
      <c r="E95" s="2" t="str">
        <f>"2170755529"</f>
        <v>2170755529</v>
      </c>
      <c r="F95" s="2" t="s">
        <v>17</v>
      </c>
      <c r="G95" s="2" t="s">
        <v>18</v>
      </c>
      <c r="H95" s="2" t="s">
        <v>19</v>
      </c>
      <c r="I95" s="2" t="s">
        <v>111</v>
      </c>
      <c r="J95" s="2" t="s">
        <v>143</v>
      </c>
      <c r="K95" s="2" t="s">
        <v>22</v>
      </c>
      <c r="L95" s="3">
        <v>0.31875000000000003</v>
      </c>
      <c r="M95" s="2" t="s">
        <v>144</v>
      </c>
      <c r="N95" s="2" t="s">
        <v>500</v>
      </c>
      <c r="O95" s="2"/>
    </row>
    <row r="96" spans="1:15" x14ac:dyDescent="0.25">
      <c r="A96" s="2" t="s">
        <v>15</v>
      </c>
      <c r="B96" s="2" t="str">
        <f>"FES1162767513"</f>
        <v>FES1162767513</v>
      </c>
      <c r="C96" s="2" t="s">
        <v>16</v>
      </c>
      <c r="D96" s="2">
        <v>1</v>
      </c>
      <c r="E96" s="2" t="str">
        <f>"21707555537"</f>
        <v>21707555537</v>
      </c>
      <c r="F96" s="2" t="s">
        <v>17</v>
      </c>
      <c r="G96" s="2" t="s">
        <v>18</v>
      </c>
      <c r="H96" s="2" t="s">
        <v>25</v>
      </c>
      <c r="I96" s="2" t="s">
        <v>26</v>
      </c>
      <c r="J96" s="2" t="s">
        <v>100</v>
      </c>
      <c r="K96" s="2" t="s">
        <v>22</v>
      </c>
      <c r="L96" s="3">
        <v>0.35138888888888892</v>
      </c>
      <c r="M96" s="2" t="s">
        <v>217</v>
      </c>
      <c r="N96" s="2" t="s">
        <v>500</v>
      </c>
      <c r="O96" s="2"/>
    </row>
    <row r="97" spans="1:15" x14ac:dyDescent="0.25">
      <c r="A97" s="2" t="s">
        <v>15</v>
      </c>
      <c r="B97" s="2" t="str">
        <f>"FES1162767516"</f>
        <v>FES1162767516</v>
      </c>
      <c r="C97" s="2" t="s">
        <v>16</v>
      </c>
      <c r="D97" s="2">
        <v>1</v>
      </c>
      <c r="E97" s="2" t="str">
        <f>"2170755548"</f>
        <v>2170755548</v>
      </c>
      <c r="F97" s="2" t="s">
        <v>17</v>
      </c>
      <c r="G97" s="2" t="s">
        <v>18</v>
      </c>
      <c r="H97" s="2" t="s">
        <v>36</v>
      </c>
      <c r="I97" s="2" t="s">
        <v>67</v>
      </c>
      <c r="J97" s="2" t="s">
        <v>145</v>
      </c>
      <c r="K97" s="2" t="s">
        <v>22</v>
      </c>
      <c r="L97" s="3">
        <v>0.59444444444444444</v>
      </c>
      <c r="M97" s="2" t="s">
        <v>243</v>
      </c>
      <c r="N97" s="2" t="s">
        <v>500</v>
      </c>
      <c r="O97" s="2"/>
    </row>
    <row r="98" spans="1:15" x14ac:dyDescent="0.25">
      <c r="A98" s="2" t="s">
        <v>15</v>
      </c>
      <c r="B98" s="2" t="str">
        <f>"FES1162767520"</f>
        <v>FES1162767520</v>
      </c>
      <c r="C98" s="2" t="s">
        <v>16</v>
      </c>
      <c r="D98" s="2">
        <v>1</v>
      </c>
      <c r="E98" s="2" t="str">
        <f>"2170755541"</f>
        <v>2170755541</v>
      </c>
      <c r="F98" s="2" t="s">
        <v>17</v>
      </c>
      <c r="G98" s="2" t="s">
        <v>18</v>
      </c>
      <c r="H98" s="2" t="s">
        <v>36</v>
      </c>
      <c r="I98" s="2" t="s">
        <v>37</v>
      </c>
      <c r="J98" s="2" t="s">
        <v>104</v>
      </c>
      <c r="K98" s="2" t="s">
        <v>22</v>
      </c>
      <c r="L98" s="3">
        <v>0.34166666666666662</v>
      </c>
      <c r="M98" s="2" t="s">
        <v>221</v>
      </c>
      <c r="N98" s="2" t="s">
        <v>500</v>
      </c>
      <c r="O98" s="2"/>
    </row>
    <row r="99" spans="1:15" x14ac:dyDescent="0.25">
      <c r="A99" s="2" t="s">
        <v>15</v>
      </c>
      <c r="B99" s="2" t="str">
        <f>"FES1162767518"</f>
        <v>FES1162767518</v>
      </c>
      <c r="C99" s="2" t="s">
        <v>16</v>
      </c>
      <c r="D99" s="2">
        <v>1</v>
      </c>
      <c r="E99" s="2" t="str">
        <f>"2170755533"</f>
        <v>2170755533</v>
      </c>
      <c r="F99" s="2" t="s">
        <v>17</v>
      </c>
      <c r="G99" s="2" t="s">
        <v>18</v>
      </c>
      <c r="H99" s="2" t="s">
        <v>36</v>
      </c>
      <c r="I99" s="2" t="s">
        <v>67</v>
      </c>
      <c r="J99" s="2" t="s">
        <v>146</v>
      </c>
      <c r="K99" s="2" t="s">
        <v>22</v>
      </c>
      <c r="L99" s="3">
        <v>0.39930555555555558</v>
      </c>
      <c r="M99" s="2" t="s">
        <v>244</v>
      </c>
      <c r="N99" s="2" t="s">
        <v>500</v>
      </c>
      <c r="O99" s="2"/>
    </row>
    <row r="100" spans="1:15" x14ac:dyDescent="0.25">
      <c r="A100" s="2" t="s">
        <v>15</v>
      </c>
      <c r="B100" s="2" t="str">
        <f>"FES1162767521"</f>
        <v>FES1162767521</v>
      </c>
      <c r="C100" s="2" t="s">
        <v>16</v>
      </c>
      <c r="D100" s="2">
        <v>1</v>
      </c>
      <c r="E100" s="2" t="str">
        <f>"2170755544"</f>
        <v>2170755544</v>
      </c>
      <c r="F100" s="2" t="s">
        <v>17</v>
      </c>
      <c r="G100" s="2" t="s">
        <v>18</v>
      </c>
      <c r="H100" s="2" t="s">
        <v>30</v>
      </c>
      <c r="I100" s="2" t="s">
        <v>147</v>
      </c>
      <c r="J100" s="2" t="s">
        <v>148</v>
      </c>
      <c r="K100" s="2" t="s">
        <v>22</v>
      </c>
      <c r="L100" s="3">
        <v>0.41666666666666669</v>
      </c>
      <c r="M100" s="2" t="s">
        <v>245</v>
      </c>
      <c r="N100" s="2" t="s">
        <v>500</v>
      </c>
      <c r="O100" s="2"/>
    </row>
    <row r="101" spans="1:15" x14ac:dyDescent="0.25">
      <c r="A101" s="2" t="s">
        <v>15</v>
      </c>
      <c r="B101" s="2" t="str">
        <f>"FES1162767522"</f>
        <v>FES1162767522</v>
      </c>
      <c r="C101" s="2" t="s">
        <v>16</v>
      </c>
      <c r="D101" s="2">
        <v>1</v>
      </c>
      <c r="E101" s="2" t="str">
        <f>"2170755545"</f>
        <v>2170755545</v>
      </c>
      <c r="F101" s="2" t="s">
        <v>17</v>
      </c>
      <c r="G101" s="2" t="s">
        <v>18</v>
      </c>
      <c r="H101" s="2" t="s">
        <v>19</v>
      </c>
      <c r="I101" s="2" t="s">
        <v>149</v>
      </c>
      <c r="J101" s="2" t="s">
        <v>150</v>
      </c>
      <c r="K101" s="2" t="s">
        <v>22</v>
      </c>
      <c r="L101" s="3">
        <v>0.44027777777777777</v>
      </c>
      <c r="M101" s="2" t="s">
        <v>246</v>
      </c>
      <c r="N101" s="2" t="s">
        <v>500</v>
      </c>
      <c r="O101" s="2"/>
    </row>
    <row r="102" spans="1:15" x14ac:dyDescent="0.25">
      <c r="A102" s="2" t="s">
        <v>15</v>
      </c>
      <c r="B102" s="2" t="str">
        <f>"FES1162767527"</f>
        <v>FES1162767527</v>
      </c>
      <c r="C102" s="2" t="s">
        <v>16</v>
      </c>
      <c r="D102" s="2">
        <v>1</v>
      </c>
      <c r="E102" s="2" t="str">
        <f>"2170755557"</f>
        <v>2170755557</v>
      </c>
      <c r="F102" s="2" t="s">
        <v>17</v>
      </c>
      <c r="G102" s="2" t="s">
        <v>18</v>
      </c>
      <c r="H102" s="2" t="s">
        <v>18</v>
      </c>
      <c r="I102" s="2" t="s">
        <v>46</v>
      </c>
      <c r="J102" s="2" t="s">
        <v>151</v>
      </c>
      <c r="K102" s="2" t="s">
        <v>22</v>
      </c>
      <c r="L102" s="3">
        <v>0.34027777777777773</v>
      </c>
      <c r="M102" s="2" t="s">
        <v>247</v>
      </c>
      <c r="N102" s="2" t="s">
        <v>500</v>
      </c>
      <c r="O102" s="2"/>
    </row>
    <row r="103" spans="1:15" x14ac:dyDescent="0.25">
      <c r="A103" s="2" t="s">
        <v>15</v>
      </c>
      <c r="B103" s="2" t="str">
        <f>"FES1162767506"</f>
        <v>FES1162767506</v>
      </c>
      <c r="C103" s="2" t="s">
        <v>16</v>
      </c>
      <c r="D103" s="2">
        <v>1</v>
      </c>
      <c r="E103" s="2" t="str">
        <f>"2170755525"</f>
        <v>2170755525</v>
      </c>
      <c r="F103" s="2" t="s">
        <v>17</v>
      </c>
      <c r="G103" s="2" t="s">
        <v>18</v>
      </c>
      <c r="H103" s="2" t="s">
        <v>18</v>
      </c>
      <c r="I103" s="2" t="s">
        <v>65</v>
      </c>
      <c r="J103" s="2" t="s">
        <v>66</v>
      </c>
      <c r="K103" s="2" t="s">
        <v>22</v>
      </c>
      <c r="L103" s="3">
        <v>0.32847222222222222</v>
      </c>
      <c r="M103" s="2" t="s">
        <v>189</v>
      </c>
      <c r="N103" s="2" t="s">
        <v>500</v>
      </c>
      <c r="O103" s="2"/>
    </row>
    <row r="104" spans="1:15" x14ac:dyDescent="0.25">
      <c r="A104" s="2" t="s">
        <v>15</v>
      </c>
      <c r="B104" s="2" t="str">
        <f>"FES1162767531"</f>
        <v>FES1162767531</v>
      </c>
      <c r="C104" s="2" t="s">
        <v>16</v>
      </c>
      <c r="D104" s="2">
        <v>1</v>
      </c>
      <c r="E104" s="2" t="str">
        <f>"2170755564"</f>
        <v>2170755564</v>
      </c>
      <c r="F104" s="2" t="s">
        <v>17</v>
      </c>
      <c r="G104" s="2" t="s">
        <v>18</v>
      </c>
      <c r="H104" s="2" t="s">
        <v>33</v>
      </c>
      <c r="I104" s="2" t="s">
        <v>34</v>
      </c>
      <c r="J104" s="2" t="s">
        <v>152</v>
      </c>
      <c r="K104" s="2" t="s">
        <v>22</v>
      </c>
      <c r="L104" s="3">
        <v>0.43333333333333335</v>
      </c>
      <c r="M104" s="2" t="s">
        <v>248</v>
      </c>
      <c r="N104" s="2" t="s">
        <v>500</v>
      </c>
      <c r="O104" s="2"/>
    </row>
    <row r="105" spans="1:15" x14ac:dyDescent="0.25">
      <c r="A105" s="2" t="s">
        <v>15</v>
      </c>
      <c r="B105" s="2" t="str">
        <f>"FES1162767528"</f>
        <v>FES1162767528</v>
      </c>
      <c r="C105" s="2" t="s">
        <v>16</v>
      </c>
      <c r="D105" s="2">
        <v>1</v>
      </c>
      <c r="E105" s="2" t="str">
        <f>"2170755559"</f>
        <v>2170755559</v>
      </c>
      <c r="F105" s="2" t="s">
        <v>17</v>
      </c>
      <c r="G105" s="2" t="s">
        <v>18</v>
      </c>
      <c r="H105" s="2" t="s">
        <v>18</v>
      </c>
      <c r="I105" s="2" t="s">
        <v>46</v>
      </c>
      <c r="J105" s="2" t="s">
        <v>153</v>
      </c>
      <c r="K105" s="2" t="s">
        <v>22</v>
      </c>
      <c r="L105" s="3">
        <v>0.4375</v>
      </c>
      <c r="M105" s="2" t="s">
        <v>249</v>
      </c>
      <c r="N105" s="2" t="s">
        <v>500</v>
      </c>
      <c r="O105" s="2"/>
    </row>
    <row r="106" spans="1:15" x14ac:dyDescent="0.25">
      <c r="A106" s="2" t="s">
        <v>15</v>
      </c>
      <c r="B106" s="2" t="str">
        <f>"FES1162767511"</f>
        <v>FES1162767511</v>
      </c>
      <c r="C106" s="2" t="s">
        <v>16</v>
      </c>
      <c r="D106" s="2">
        <v>1</v>
      </c>
      <c r="E106" s="2" t="str">
        <f>"2170755532"</f>
        <v>2170755532</v>
      </c>
      <c r="F106" s="2" t="s">
        <v>17</v>
      </c>
      <c r="G106" s="2" t="s">
        <v>18</v>
      </c>
      <c r="H106" s="2" t="s">
        <v>88</v>
      </c>
      <c r="I106" s="2" t="s">
        <v>109</v>
      </c>
      <c r="J106" s="2" t="s">
        <v>154</v>
      </c>
      <c r="K106" s="2" t="s">
        <v>22</v>
      </c>
      <c r="L106" s="3">
        <v>0.38541666666666669</v>
      </c>
      <c r="M106" s="2" t="s">
        <v>250</v>
      </c>
      <c r="N106" s="2" t="s">
        <v>500</v>
      </c>
      <c r="O106" s="2"/>
    </row>
    <row r="107" spans="1:15" x14ac:dyDescent="0.25">
      <c r="A107" s="2" t="s">
        <v>15</v>
      </c>
      <c r="B107" s="2" t="str">
        <f>"FES1162767539"</f>
        <v>FES1162767539</v>
      </c>
      <c r="C107" s="2" t="s">
        <v>16</v>
      </c>
      <c r="D107" s="2">
        <v>1</v>
      </c>
      <c r="E107" s="2" t="str">
        <f>"2170755567"</f>
        <v>2170755567</v>
      </c>
      <c r="F107" s="2" t="s">
        <v>17</v>
      </c>
      <c r="G107" s="2" t="s">
        <v>18</v>
      </c>
      <c r="H107" s="2" t="s">
        <v>36</v>
      </c>
      <c r="I107" s="2" t="s">
        <v>37</v>
      </c>
      <c r="J107" s="2" t="s">
        <v>104</v>
      </c>
      <c r="K107" s="2" t="s">
        <v>22</v>
      </c>
      <c r="L107" s="3">
        <v>0.34166666666666662</v>
      </c>
      <c r="M107" s="2" t="s">
        <v>221</v>
      </c>
      <c r="N107" s="2" t="s">
        <v>500</v>
      </c>
      <c r="O107" s="2"/>
    </row>
    <row r="108" spans="1:15" x14ac:dyDescent="0.25">
      <c r="A108" s="2" t="s">
        <v>15</v>
      </c>
      <c r="B108" s="2" t="str">
        <f>"FES1162767534"</f>
        <v>FES1162767534</v>
      </c>
      <c r="C108" s="2" t="s">
        <v>16</v>
      </c>
      <c r="D108" s="2">
        <v>1</v>
      </c>
      <c r="E108" s="2" t="str">
        <f>"2170755561"</f>
        <v>2170755561</v>
      </c>
      <c r="F108" s="2" t="s">
        <v>17</v>
      </c>
      <c r="G108" s="2" t="s">
        <v>18</v>
      </c>
      <c r="H108" s="2" t="s">
        <v>88</v>
      </c>
      <c r="I108" s="2" t="s">
        <v>109</v>
      </c>
      <c r="J108" s="2" t="s">
        <v>155</v>
      </c>
      <c r="K108" s="2" t="s">
        <v>22</v>
      </c>
      <c r="L108" s="3">
        <v>0.36041666666666666</v>
      </c>
      <c r="M108" s="2" t="s">
        <v>251</v>
      </c>
      <c r="N108" s="2" t="s">
        <v>500</v>
      </c>
      <c r="O108" s="2"/>
    </row>
    <row r="109" spans="1:15" x14ac:dyDescent="0.25">
      <c r="A109" s="2" t="s">
        <v>15</v>
      </c>
      <c r="B109" s="2" t="str">
        <f>"FES1162767533"</f>
        <v>FES1162767533</v>
      </c>
      <c r="C109" s="2" t="s">
        <v>16</v>
      </c>
      <c r="D109" s="2">
        <v>1</v>
      </c>
      <c r="E109" s="2" t="str">
        <f>"2170755555"</f>
        <v>2170755555</v>
      </c>
      <c r="F109" s="2" t="s">
        <v>17</v>
      </c>
      <c r="G109" s="2" t="s">
        <v>18</v>
      </c>
      <c r="H109" s="2" t="s">
        <v>36</v>
      </c>
      <c r="I109" s="2" t="s">
        <v>37</v>
      </c>
      <c r="J109" s="2" t="s">
        <v>156</v>
      </c>
      <c r="K109" s="2" t="s">
        <v>22</v>
      </c>
      <c r="L109" s="3">
        <v>0.36388888888888887</v>
      </c>
      <c r="M109" s="2" t="s">
        <v>252</v>
      </c>
      <c r="N109" s="2" t="s">
        <v>500</v>
      </c>
      <c r="O109" s="2"/>
    </row>
    <row r="110" spans="1:15" x14ac:dyDescent="0.25">
      <c r="A110" s="2" t="s">
        <v>15</v>
      </c>
      <c r="B110" s="2" t="str">
        <f>"FES1162767382"</f>
        <v>FES1162767382</v>
      </c>
      <c r="C110" s="2" t="s">
        <v>16</v>
      </c>
      <c r="D110" s="2">
        <v>1</v>
      </c>
      <c r="E110" s="2" t="str">
        <f>"2170754350"</f>
        <v>2170754350</v>
      </c>
      <c r="F110" s="2" t="s">
        <v>17</v>
      </c>
      <c r="G110" s="2" t="s">
        <v>18</v>
      </c>
      <c r="H110" s="2" t="s">
        <v>18</v>
      </c>
      <c r="I110" s="2" t="s">
        <v>63</v>
      </c>
      <c r="J110" s="2" t="s">
        <v>93</v>
      </c>
      <c r="K110" s="2" t="s">
        <v>22</v>
      </c>
      <c r="L110" s="3">
        <v>0.39027777777777778</v>
      </c>
      <c r="M110" s="2" t="s">
        <v>210</v>
      </c>
      <c r="N110" s="2" t="s">
        <v>500</v>
      </c>
      <c r="O110" s="2"/>
    </row>
    <row r="111" spans="1:15" x14ac:dyDescent="0.25">
      <c r="A111" s="2" t="s">
        <v>15</v>
      </c>
      <c r="B111" s="2" t="str">
        <f>"FES1162767536"</f>
        <v>FES1162767536</v>
      </c>
      <c r="C111" s="2" t="s">
        <v>16</v>
      </c>
      <c r="D111" s="2">
        <v>1</v>
      </c>
      <c r="E111" s="2" t="str">
        <f>"2170755570"</f>
        <v>2170755570</v>
      </c>
      <c r="F111" s="2" t="s">
        <v>17</v>
      </c>
      <c r="G111" s="2" t="s">
        <v>18</v>
      </c>
      <c r="H111" s="2" t="s">
        <v>206</v>
      </c>
      <c r="I111" s="2" t="s">
        <v>157</v>
      </c>
      <c r="J111" s="2" t="s">
        <v>158</v>
      </c>
      <c r="K111" s="2" t="s">
        <v>22</v>
      </c>
      <c r="L111" s="3">
        <v>0.39583333333333331</v>
      </c>
      <c r="M111" s="2" t="s">
        <v>253</v>
      </c>
      <c r="N111" s="2" t="s">
        <v>500</v>
      </c>
      <c r="O111" s="2"/>
    </row>
    <row r="112" spans="1:15" x14ac:dyDescent="0.25">
      <c r="A112" s="2" t="s">
        <v>15</v>
      </c>
      <c r="B112" s="2" t="str">
        <f>"FES1162767535"</f>
        <v>FES1162767535</v>
      </c>
      <c r="C112" s="2" t="s">
        <v>16</v>
      </c>
      <c r="D112" s="2">
        <v>1</v>
      </c>
      <c r="E112" s="2" t="str">
        <f>"2170755565"</f>
        <v>2170755565</v>
      </c>
      <c r="F112" s="2" t="s">
        <v>17</v>
      </c>
      <c r="G112" s="2" t="s">
        <v>18</v>
      </c>
      <c r="H112" s="2" t="s">
        <v>78</v>
      </c>
      <c r="I112" s="2" t="s">
        <v>79</v>
      </c>
      <c r="J112" s="2" t="s">
        <v>81</v>
      </c>
      <c r="K112" s="2" t="s">
        <v>22</v>
      </c>
      <c r="L112" s="3">
        <v>0.34722222222222227</v>
      </c>
      <c r="M112" s="2" t="s">
        <v>200</v>
      </c>
      <c r="N112" s="2" t="s">
        <v>500</v>
      </c>
      <c r="O112" s="2"/>
    </row>
    <row r="113" spans="1:15" x14ac:dyDescent="0.25">
      <c r="A113" s="2" t="s">
        <v>15</v>
      </c>
      <c r="B113" s="2" t="str">
        <f>"FES1162767557"</f>
        <v>FES1162767557</v>
      </c>
      <c r="C113" s="2" t="s">
        <v>16</v>
      </c>
      <c r="D113" s="2">
        <v>1</v>
      </c>
      <c r="E113" s="2" t="str">
        <f>"217075583"</f>
        <v>217075583</v>
      </c>
      <c r="F113" s="2" t="s">
        <v>17</v>
      </c>
      <c r="G113" s="2" t="s">
        <v>18</v>
      </c>
      <c r="H113" s="2" t="s">
        <v>19</v>
      </c>
      <c r="I113" s="2" t="s">
        <v>20</v>
      </c>
      <c r="J113" s="2" t="s">
        <v>123</v>
      </c>
      <c r="K113" s="2" t="s">
        <v>22</v>
      </c>
      <c r="L113" s="3">
        <v>0.41944444444444445</v>
      </c>
      <c r="M113" s="2" t="s">
        <v>233</v>
      </c>
      <c r="N113" s="2" t="s">
        <v>500</v>
      </c>
      <c r="O113" s="2"/>
    </row>
    <row r="114" spans="1:15" x14ac:dyDescent="0.25">
      <c r="A114" s="2" t="s">
        <v>15</v>
      </c>
      <c r="B114" s="2" t="str">
        <f>"FES1162767530"</f>
        <v>FES1162767530</v>
      </c>
      <c r="C114" s="2" t="s">
        <v>16</v>
      </c>
      <c r="D114" s="2">
        <v>1</v>
      </c>
      <c r="E114" s="2" t="str">
        <f>"2170755562"</f>
        <v>2170755562</v>
      </c>
      <c r="F114" s="2" t="s">
        <v>17</v>
      </c>
      <c r="G114" s="2" t="s">
        <v>18</v>
      </c>
      <c r="H114" s="2" t="s">
        <v>25</v>
      </c>
      <c r="I114" s="2" t="s">
        <v>26</v>
      </c>
      <c r="J114" s="2" t="s">
        <v>100</v>
      </c>
      <c r="K114" s="2" t="s">
        <v>22</v>
      </c>
      <c r="L114" s="3">
        <v>0.3430555555555555</v>
      </c>
      <c r="M114" s="2" t="s">
        <v>217</v>
      </c>
      <c r="N114" s="2" t="s">
        <v>500</v>
      </c>
      <c r="O114" s="2"/>
    </row>
    <row r="115" spans="1:15" x14ac:dyDescent="0.25">
      <c r="A115" s="2" t="s">
        <v>15</v>
      </c>
      <c r="B115" s="2" t="str">
        <f>"FES1162767540"</f>
        <v>FES1162767540</v>
      </c>
      <c r="C115" s="2" t="s">
        <v>16</v>
      </c>
      <c r="D115" s="2">
        <v>1</v>
      </c>
      <c r="E115" s="2" t="str">
        <f>"2170755579"</f>
        <v>2170755579</v>
      </c>
      <c r="F115" s="2" t="s">
        <v>17</v>
      </c>
      <c r="G115" s="2" t="s">
        <v>18</v>
      </c>
      <c r="H115" s="2" t="s">
        <v>25</v>
      </c>
      <c r="I115" s="2" t="s">
        <v>125</v>
      </c>
      <c r="J115" s="2" t="s">
        <v>126</v>
      </c>
      <c r="K115" s="2" t="s">
        <v>22</v>
      </c>
      <c r="L115" s="3">
        <v>0.43194444444444446</v>
      </c>
      <c r="M115" s="2" t="s">
        <v>235</v>
      </c>
      <c r="N115" s="2" t="s">
        <v>500</v>
      </c>
      <c r="O115" s="2"/>
    </row>
    <row r="116" spans="1:15" x14ac:dyDescent="0.25">
      <c r="A116" s="2" t="s">
        <v>15</v>
      </c>
      <c r="B116" s="2" t="str">
        <f>"FES1162767529"</f>
        <v>FES1162767529</v>
      </c>
      <c r="C116" s="2" t="s">
        <v>16</v>
      </c>
      <c r="D116" s="2">
        <v>1</v>
      </c>
      <c r="E116" s="2" t="str">
        <f>"2170755560"</f>
        <v>2170755560</v>
      </c>
      <c r="F116" s="2" t="s">
        <v>17</v>
      </c>
      <c r="G116" s="2" t="s">
        <v>18</v>
      </c>
      <c r="H116" s="2" t="s">
        <v>25</v>
      </c>
      <c r="I116" s="2" t="s">
        <v>26</v>
      </c>
      <c r="J116" s="2" t="s">
        <v>75</v>
      </c>
      <c r="K116" s="2" t="s">
        <v>22</v>
      </c>
      <c r="L116" s="3">
        <v>0.35000000000000003</v>
      </c>
      <c r="M116" s="2" t="s">
        <v>196</v>
      </c>
      <c r="N116" s="2" t="s">
        <v>500</v>
      </c>
      <c r="O116" s="2"/>
    </row>
    <row r="117" spans="1:15" x14ac:dyDescent="0.25">
      <c r="A117" s="2" t="s">
        <v>15</v>
      </c>
      <c r="B117" s="2" t="str">
        <f>"FES1162767544"</f>
        <v>FES1162767544</v>
      </c>
      <c r="C117" s="2" t="s">
        <v>16</v>
      </c>
      <c r="D117" s="2">
        <v>1</v>
      </c>
      <c r="E117" s="2" t="str">
        <f>"2170755582"</f>
        <v>2170755582</v>
      </c>
      <c r="F117" s="2" t="s">
        <v>17</v>
      </c>
      <c r="G117" s="2" t="s">
        <v>18</v>
      </c>
      <c r="H117" s="2" t="s">
        <v>78</v>
      </c>
      <c r="I117" s="2" t="s">
        <v>159</v>
      </c>
      <c r="J117" s="2" t="s">
        <v>160</v>
      </c>
      <c r="K117" s="2" t="s">
        <v>22</v>
      </c>
      <c r="L117" s="3">
        <v>0.51944444444444449</v>
      </c>
      <c r="M117" s="2" t="s">
        <v>254</v>
      </c>
      <c r="N117" s="2" t="s">
        <v>500</v>
      </c>
      <c r="O117" s="2"/>
    </row>
    <row r="118" spans="1:15" x14ac:dyDescent="0.25">
      <c r="A118" s="2" t="s">
        <v>15</v>
      </c>
      <c r="B118" s="2" t="str">
        <f>"FES1162767542"</f>
        <v>FES1162767542</v>
      </c>
      <c r="C118" s="2" t="s">
        <v>16</v>
      </c>
      <c r="D118" s="2">
        <v>1</v>
      </c>
      <c r="E118" s="2" t="str">
        <f>"2170755574"</f>
        <v>2170755574</v>
      </c>
      <c r="F118" s="2" t="s">
        <v>17</v>
      </c>
      <c r="G118" s="2" t="s">
        <v>18</v>
      </c>
      <c r="H118" s="2" t="s">
        <v>78</v>
      </c>
      <c r="I118" s="2" t="s">
        <v>79</v>
      </c>
      <c r="J118" s="2" t="s">
        <v>81</v>
      </c>
      <c r="K118" s="2" t="s">
        <v>22</v>
      </c>
      <c r="L118" s="3">
        <v>0.34722222222222227</v>
      </c>
      <c r="M118" s="2" t="s">
        <v>200</v>
      </c>
      <c r="N118" s="2" t="s">
        <v>500</v>
      </c>
      <c r="O118" s="2"/>
    </row>
    <row r="119" spans="1:15" x14ac:dyDescent="0.25">
      <c r="A119" s="2" t="s">
        <v>15</v>
      </c>
      <c r="B119" s="2" t="str">
        <f>"FES1162767543"</f>
        <v>FES1162767543</v>
      </c>
      <c r="C119" s="2" t="s">
        <v>16</v>
      </c>
      <c r="D119" s="2">
        <v>1</v>
      </c>
      <c r="E119" s="2" t="str">
        <f>"2170755576"</f>
        <v>2170755576</v>
      </c>
      <c r="F119" s="2" t="s">
        <v>17</v>
      </c>
      <c r="G119" s="2" t="s">
        <v>18</v>
      </c>
      <c r="H119" s="2" t="s">
        <v>19</v>
      </c>
      <c r="I119" s="2" t="s">
        <v>20</v>
      </c>
      <c r="J119" s="2" t="s">
        <v>123</v>
      </c>
      <c r="K119" s="2" t="s">
        <v>22</v>
      </c>
      <c r="L119" s="3">
        <v>0.41944444444444445</v>
      </c>
      <c r="M119" s="2" t="s">
        <v>233</v>
      </c>
      <c r="N119" s="2" t="s">
        <v>500</v>
      </c>
      <c r="O119" s="2"/>
    </row>
    <row r="120" spans="1:15" x14ac:dyDescent="0.25">
      <c r="A120" s="2" t="s">
        <v>15</v>
      </c>
      <c r="B120" s="2" t="str">
        <f>"FES1162767556"</f>
        <v>FES1162767556</v>
      </c>
      <c r="C120" s="2" t="s">
        <v>16</v>
      </c>
      <c r="D120" s="2">
        <v>1</v>
      </c>
      <c r="E120" s="2" t="str">
        <f>"2170755581"</f>
        <v>2170755581</v>
      </c>
      <c r="F120" s="2" t="s">
        <v>17</v>
      </c>
      <c r="G120" s="2" t="s">
        <v>18</v>
      </c>
      <c r="H120" s="2" t="s">
        <v>25</v>
      </c>
      <c r="I120" s="2" t="s">
        <v>39</v>
      </c>
      <c r="J120" s="2" t="s">
        <v>161</v>
      </c>
      <c r="K120" s="2" t="s">
        <v>22</v>
      </c>
      <c r="L120" s="3">
        <v>0.37152777777777773</v>
      </c>
      <c r="M120" s="2" t="s">
        <v>255</v>
      </c>
      <c r="N120" s="2" t="s">
        <v>500</v>
      </c>
      <c r="O120" s="2"/>
    </row>
    <row r="121" spans="1:15" x14ac:dyDescent="0.25">
      <c r="A121" s="2" t="s">
        <v>15</v>
      </c>
      <c r="B121" s="2" t="str">
        <f>"FES1162767547"</f>
        <v>FES1162767547</v>
      </c>
      <c r="C121" s="2" t="s">
        <v>16</v>
      </c>
      <c r="D121" s="2">
        <v>1</v>
      </c>
      <c r="E121" s="2" t="str">
        <f>"2170750853"</f>
        <v>2170750853</v>
      </c>
      <c r="F121" s="2" t="s">
        <v>17</v>
      </c>
      <c r="G121" s="2" t="s">
        <v>18</v>
      </c>
      <c r="H121" s="2" t="s">
        <v>36</v>
      </c>
      <c r="I121" s="2" t="s">
        <v>37</v>
      </c>
      <c r="J121" s="2" t="s">
        <v>162</v>
      </c>
      <c r="K121" s="2" t="s">
        <v>22</v>
      </c>
      <c r="L121" s="3">
        <v>0.35972222222222222</v>
      </c>
      <c r="M121" s="2" t="s">
        <v>256</v>
      </c>
      <c r="N121" s="2" t="s">
        <v>500</v>
      </c>
      <c r="O121" s="2"/>
    </row>
    <row r="122" spans="1:15" x14ac:dyDescent="0.25">
      <c r="A122" s="2" t="s">
        <v>15</v>
      </c>
      <c r="B122" s="2" t="str">
        <f>"FES1162767560"</f>
        <v>FES1162767560</v>
      </c>
      <c r="C122" s="2" t="s">
        <v>16</v>
      </c>
      <c r="D122" s="2">
        <v>1</v>
      </c>
      <c r="E122" s="2" t="str">
        <f>"2170755588"</f>
        <v>2170755588</v>
      </c>
      <c r="F122" s="2" t="s">
        <v>17</v>
      </c>
      <c r="G122" s="2" t="s">
        <v>18</v>
      </c>
      <c r="H122" s="2" t="s">
        <v>88</v>
      </c>
      <c r="I122" s="2" t="s">
        <v>109</v>
      </c>
      <c r="J122" s="2" t="s">
        <v>155</v>
      </c>
      <c r="K122" s="2" t="s">
        <v>22</v>
      </c>
      <c r="L122" s="3">
        <v>0.36041666666666666</v>
      </c>
      <c r="M122" s="2" t="s">
        <v>251</v>
      </c>
      <c r="N122" s="2" t="s">
        <v>500</v>
      </c>
      <c r="O122" s="2"/>
    </row>
    <row r="123" spans="1:15" x14ac:dyDescent="0.25">
      <c r="A123" s="2" t="s">
        <v>15</v>
      </c>
      <c r="B123" s="2" t="str">
        <f>"FES1162767549"</f>
        <v>FES1162767549</v>
      </c>
      <c r="C123" s="2" t="s">
        <v>16</v>
      </c>
      <c r="D123" s="2">
        <v>1</v>
      </c>
      <c r="E123" s="2" t="str">
        <f>"2170752031"</f>
        <v>2170752031</v>
      </c>
      <c r="F123" s="2" t="s">
        <v>17</v>
      </c>
      <c r="G123" s="2" t="s">
        <v>18</v>
      </c>
      <c r="H123" s="2" t="s">
        <v>36</v>
      </c>
      <c r="I123" s="2" t="s">
        <v>37</v>
      </c>
      <c r="J123" s="2" t="s">
        <v>162</v>
      </c>
      <c r="K123" s="2" t="s">
        <v>22</v>
      </c>
      <c r="L123" s="3">
        <v>0.35972222222222222</v>
      </c>
      <c r="M123" s="2" t="s">
        <v>256</v>
      </c>
      <c r="N123" s="2" t="s">
        <v>500</v>
      </c>
      <c r="O123" s="2"/>
    </row>
    <row r="124" spans="1:15" x14ac:dyDescent="0.25">
      <c r="A124" s="2" t="s">
        <v>15</v>
      </c>
      <c r="B124" s="2" t="str">
        <f>"FES1162767546"</f>
        <v>FES1162767546</v>
      </c>
      <c r="C124" s="2" t="s">
        <v>16</v>
      </c>
      <c r="D124" s="2">
        <v>1</v>
      </c>
      <c r="E124" s="2" t="str">
        <f>"2170750657"</f>
        <v>2170750657</v>
      </c>
      <c r="F124" s="2" t="s">
        <v>17</v>
      </c>
      <c r="G124" s="2" t="s">
        <v>18</v>
      </c>
      <c r="H124" s="2" t="s">
        <v>36</v>
      </c>
      <c r="I124" s="2" t="s">
        <v>37</v>
      </c>
      <c r="J124" s="2" t="s">
        <v>162</v>
      </c>
      <c r="K124" s="2" t="s">
        <v>22</v>
      </c>
      <c r="L124" s="3">
        <v>0.35972222222222222</v>
      </c>
      <c r="M124" s="2" t="s">
        <v>256</v>
      </c>
      <c r="N124" s="2" t="s">
        <v>500</v>
      </c>
      <c r="O124" s="2"/>
    </row>
    <row r="125" spans="1:15" x14ac:dyDescent="0.25">
      <c r="A125" s="2" t="s">
        <v>15</v>
      </c>
      <c r="B125" s="2" t="str">
        <f>"FES1162767548"</f>
        <v>FES1162767548</v>
      </c>
      <c r="C125" s="2" t="s">
        <v>16</v>
      </c>
      <c r="D125" s="2">
        <v>1</v>
      </c>
      <c r="E125" s="2" t="str">
        <f>"2170750856"</f>
        <v>2170750856</v>
      </c>
      <c r="F125" s="2" t="s">
        <v>17</v>
      </c>
      <c r="G125" s="2" t="s">
        <v>18</v>
      </c>
      <c r="H125" s="2" t="s">
        <v>36</v>
      </c>
      <c r="I125" s="2" t="s">
        <v>37</v>
      </c>
      <c r="J125" s="2" t="s">
        <v>162</v>
      </c>
      <c r="K125" s="2" t="s">
        <v>22</v>
      </c>
      <c r="L125" s="3">
        <v>0.35972222222222222</v>
      </c>
      <c r="M125" s="2" t="s">
        <v>256</v>
      </c>
      <c r="N125" s="2" t="s">
        <v>500</v>
      </c>
      <c r="O125" s="2"/>
    </row>
    <row r="126" spans="1:15" x14ac:dyDescent="0.25">
      <c r="A126" s="2" t="s">
        <v>15</v>
      </c>
      <c r="B126" s="2" t="str">
        <f>"FES1162767566"</f>
        <v>FES1162767566</v>
      </c>
      <c r="C126" s="2" t="s">
        <v>16</v>
      </c>
      <c r="D126" s="2">
        <v>1</v>
      </c>
      <c r="E126" s="2" t="str">
        <f>"2170755593"</f>
        <v>2170755593</v>
      </c>
      <c r="F126" s="2" t="s">
        <v>17</v>
      </c>
      <c r="G126" s="2" t="s">
        <v>18</v>
      </c>
      <c r="H126" s="2" t="s">
        <v>18</v>
      </c>
      <c r="I126" s="2" t="s">
        <v>163</v>
      </c>
      <c r="J126" s="2" t="s">
        <v>164</v>
      </c>
      <c r="K126" s="2" t="s">
        <v>22</v>
      </c>
      <c r="L126" s="3">
        <v>0.4375</v>
      </c>
      <c r="M126" s="2" t="s">
        <v>257</v>
      </c>
      <c r="N126" s="2" t="s">
        <v>500</v>
      </c>
      <c r="O126" s="2"/>
    </row>
    <row r="127" spans="1:15" x14ac:dyDescent="0.25">
      <c r="A127" s="2" t="s">
        <v>15</v>
      </c>
      <c r="B127" s="2" t="str">
        <f>"FES1162767376"</f>
        <v>FES1162767376</v>
      </c>
      <c r="C127" s="2" t="s">
        <v>16</v>
      </c>
      <c r="D127" s="2">
        <v>1</v>
      </c>
      <c r="E127" s="2" t="str">
        <f>"2170749668"</f>
        <v>2170749668</v>
      </c>
      <c r="F127" s="2" t="s">
        <v>17</v>
      </c>
      <c r="G127" s="2" t="s">
        <v>18</v>
      </c>
      <c r="H127" s="2" t="s">
        <v>19</v>
      </c>
      <c r="I127" s="2" t="s">
        <v>111</v>
      </c>
      <c r="J127" s="2" t="s">
        <v>165</v>
      </c>
      <c r="K127" s="2" t="s">
        <v>22</v>
      </c>
      <c r="L127" s="3">
        <v>0.38194444444444442</v>
      </c>
      <c r="M127" s="2" t="s">
        <v>258</v>
      </c>
      <c r="N127" s="2" t="s">
        <v>500</v>
      </c>
      <c r="O127" s="2"/>
    </row>
    <row r="128" spans="1:15" x14ac:dyDescent="0.25">
      <c r="A128" s="2" t="s">
        <v>15</v>
      </c>
      <c r="B128" s="2" t="str">
        <f>"FES1162767553"</f>
        <v>FES1162767553</v>
      </c>
      <c r="C128" s="2" t="s">
        <v>16</v>
      </c>
      <c r="D128" s="2">
        <v>1</v>
      </c>
      <c r="E128" s="2" t="str">
        <f>"2170751063"</f>
        <v>2170751063</v>
      </c>
      <c r="F128" s="2" t="s">
        <v>17</v>
      </c>
      <c r="G128" s="2" t="s">
        <v>18</v>
      </c>
      <c r="H128" s="2" t="s">
        <v>88</v>
      </c>
      <c r="I128" s="2" t="s">
        <v>109</v>
      </c>
      <c r="J128" s="2" t="s">
        <v>110</v>
      </c>
      <c r="K128" s="2" t="s">
        <v>22</v>
      </c>
      <c r="L128" s="3">
        <v>0.36805555555555558</v>
      </c>
      <c r="M128" s="2" t="s">
        <v>224</v>
      </c>
      <c r="N128" s="2" t="s">
        <v>500</v>
      </c>
      <c r="O128" s="2"/>
    </row>
    <row r="129" spans="1:15" x14ac:dyDescent="0.25">
      <c r="A129" s="2" t="s">
        <v>15</v>
      </c>
      <c r="B129" s="2" t="str">
        <f>"FES1162767559"</f>
        <v>FES1162767559</v>
      </c>
      <c r="C129" s="2" t="s">
        <v>16</v>
      </c>
      <c r="D129" s="2">
        <v>1</v>
      </c>
      <c r="E129" s="2" t="str">
        <f>"2170755585"</f>
        <v>2170755585</v>
      </c>
      <c r="F129" s="2" t="s">
        <v>17</v>
      </c>
      <c r="G129" s="2" t="s">
        <v>18</v>
      </c>
      <c r="H129" s="2" t="s">
        <v>19</v>
      </c>
      <c r="I129" s="2" t="s">
        <v>20</v>
      </c>
      <c r="J129" s="2" t="s">
        <v>123</v>
      </c>
      <c r="K129" s="2" t="s">
        <v>22</v>
      </c>
      <c r="L129" s="3">
        <v>0.41944444444444445</v>
      </c>
      <c r="M129" s="2" t="s">
        <v>233</v>
      </c>
      <c r="N129" s="2" t="s">
        <v>500</v>
      </c>
      <c r="O129" s="2"/>
    </row>
    <row r="130" spans="1:15" x14ac:dyDescent="0.25">
      <c r="A130" s="2" t="s">
        <v>15</v>
      </c>
      <c r="B130" s="2" t="str">
        <f>"FES1162767541"</f>
        <v>FES1162767541</v>
      </c>
      <c r="C130" s="2" t="s">
        <v>16</v>
      </c>
      <c r="D130" s="2">
        <v>1</v>
      </c>
      <c r="E130" s="2" t="str">
        <f>"2170745946"</f>
        <v>2170745946</v>
      </c>
      <c r="F130" s="2" t="s">
        <v>17</v>
      </c>
      <c r="G130" s="2" t="s">
        <v>18</v>
      </c>
      <c r="H130" s="2" t="s">
        <v>36</v>
      </c>
      <c r="I130" s="2" t="s">
        <v>37</v>
      </c>
      <c r="J130" s="2" t="s">
        <v>162</v>
      </c>
      <c r="K130" s="2" t="s">
        <v>22</v>
      </c>
      <c r="L130" s="3">
        <v>0.35972222222222222</v>
      </c>
      <c r="M130" s="2" t="s">
        <v>256</v>
      </c>
      <c r="N130" s="2" t="s">
        <v>500</v>
      </c>
      <c r="O130" s="2"/>
    </row>
    <row r="131" spans="1:15" x14ac:dyDescent="0.25">
      <c r="A131" s="2" t="s">
        <v>15</v>
      </c>
      <c r="B131" s="2" t="str">
        <f>"FES1162767550"</f>
        <v>FES1162767550</v>
      </c>
      <c r="C131" s="2" t="s">
        <v>16</v>
      </c>
      <c r="D131" s="2">
        <v>1</v>
      </c>
      <c r="E131" s="2" t="str">
        <f>"2170752917"</f>
        <v>2170752917</v>
      </c>
      <c r="F131" s="2" t="s">
        <v>17</v>
      </c>
      <c r="G131" s="2" t="s">
        <v>18</v>
      </c>
      <c r="H131" s="2" t="s">
        <v>36</v>
      </c>
      <c r="I131" s="2" t="s">
        <v>37</v>
      </c>
      <c r="J131" s="2" t="s">
        <v>162</v>
      </c>
      <c r="K131" s="2" t="s">
        <v>22</v>
      </c>
      <c r="L131" s="3">
        <v>0.35972222222222222</v>
      </c>
      <c r="M131" s="2" t="s">
        <v>256</v>
      </c>
      <c r="N131" s="2" t="s">
        <v>500</v>
      </c>
      <c r="O131" s="2"/>
    </row>
    <row r="132" spans="1:15" x14ac:dyDescent="0.25">
      <c r="A132" s="2" t="s">
        <v>15</v>
      </c>
      <c r="B132" s="2" t="str">
        <f>"FES1162767551"</f>
        <v>FES1162767551</v>
      </c>
      <c r="C132" s="2" t="s">
        <v>16</v>
      </c>
      <c r="D132" s="2">
        <v>1</v>
      </c>
      <c r="E132" s="2" t="str">
        <f>"2170752920"</f>
        <v>2170752920</v>
      </c>
      <c r="F132" s="2" t="s">
        <v>17</v>
      </c>
      <c r="G132" s="2" t="s">
        <v>18</v>
      </c>
      <c r="H132" s="2" t="s">
        <v>36</v>
      </c>
      <c r="I132" s="2" t="s">
        <v>37</v>
      </c>
      <c r="J132" s="2" t="s">
        <v>162</v>
      </c>
      <c r="K132" s="2" t="s">
        <v>22</v>
      </c>
      <c r="L132" s="3">
        <v>0.35972222222222222</v>
      </c>
      <c r="M132" s="2" t="s">
        <v>256</v>
      </c>
      <c r="N132" s="2" t="s">
        <v>500</v>
      </c>
      <c r="O132" s="2"/>
    </row>
    <row r="133" spans="1:15" x14ac:dyDescent="0.25">
      <c r="A133" s="2" t="s">
        <v>15</v>
      </c>
      <c r="B133" s="2" t="str">
        <f>"FES1162767567"</f>
        <v>FES1162767567</v>
      </c>
      <c r="C133" s="2" t="s">
        <v>16</v>
      </c>
      <c r="D133" s="2">
        <v>1</v>
      </c>
      <c r="E133" s="2" t="str">
        <f>"2170755353"</f>
        <v>2170755353</v>
      </c>
      <c r="F133" s="2" t="s">
        <v>17</v>
      </c>
      <c r="G133" s="2" t="s">
        <v>18</v>
      </c>
      <c r="H133" s="2" t="s">
        <v>19</v>
      </c>
      <c r="I133" s="2" t="s">
        <v>20</v>
      </c>
      <c r="J133" s="2" t="s">
        <v>166</v>
      </c>
      <c r="K133" s="2" t="s">
        <v>22</v>
      </c>
      <c r="L133" s="3">
        <v>0.4291666666666667</v>
      </c>
      <c r="M133" s="2" t="s">
        <v>259</v>
      </c>
      <c r="N133" s="2" t="s">
        <v>500</v>
      </c>
      <c r="O133" s="2"/>
    </row>
    <row r="134" spans="1:15" x14ac:dyDescent="0.25">
      <c r="A134" s="2" t="s">
        <v>15</v>
      </c>
      <c r="B134" s="2" t="str">
        <f>"FES1162767525"</f>
        <v>FES1162767525</v>
      </c>
      <c r="C134" s="2" t="s">
        <v>16</v>
      </c>
      <c r="D134" s="2">
        <v>1</v>
      </c>
      <c r="E134" s="2" t="str">
        <f>"2170755318"</f>
        <v>2170755318</v>
      </c>
      <c r="F134" s="2" t="s">
        <v>17</v>
      </c>
      <c r="G134" s="2" t="s">
        <v>18</v>
      </c>
      <c r="H134" s="2" t="s">
        <v>120</v>
      </c>
      <c r="I134" s="2" t="s">
        <v>121</v>
      </c>
      <c r="J134" s="2" t="s">
        <v>122</v>
      </c>
      <c r="K134" s="2" t="s">
        <v>22</v>
      </c>
      <c r="L134" s="3">
        <v>0.58333333333333337</v>
      </c>
      <c r="M134" s="2" t="s">
        <v>231</v>
      </c>
      <c r="N134" s="2" t="s">
        <v>500</v>
      </c>
      <c r="O134" s="2"/>
    </row>
    <row r="135" spans="1:15" x14ac:dyDescent="0.25">
      <c r="A135" s="2" t="s">
        <v>15</v>
      </c>
      <c r="B135" s="2" t="str">
        <f>"FES1162767545"</f>
        <v>FES1162767545</v>
      </c>
      <c r="C135" s="2" t="s">
        <v>16</v>
      </c>
      <c r="D135" s="2">
        <v>2</v>
      </c>
      <c r="E135" s="2" t="str">
        <f>"2170750682"</f>
        <v>2170750682</v>
      </c>
      <c r="F135" s="2" t="s">
        <v>205</v>
      </c>
      <c r="G135" s="2" t="s">
        <v>206</v>
      </c>
      <c r="H135" s="2" t="s">
        <v>36</v>
      </c>
      <c r="I135" s="2" t="s">
        <v>37</v>
      </c>
      <c r="J135" s="2" t="s">
        <v>162</v>
      </c>
      <c r="K135" s="2" t="s">
        <v>174</v>
      </c>
      <c r="L135" s="3">
        <v>0.34375</v>
      </c>
      <c r="M135" s="2" t="s">
        <v>268</v>
      </c>
      <c r="N135" s="2" t="s">
        <v>500</v>
      </c>
      <c r="O135" s="2"/>
    </row>
    <row r="136" spans="1:15" x14ac:dyDescent="0.25">
      <c r="A136" s="2" t="s">
        <v>15</v>
      </c>
      <c r="B136" s="2" t="str">
        <f>"FES1162767554"</f>
        <v>FES1162767554</v>
      </c>
      <c r="C136" s="2" t="s">
        <v>16</v>
      </c>
      <c r="D136" s="2">
        <v>1</v>
      </c>
      <c r="E136" s="2" t="str">
        <f>"2170753253"</f>
        <v>2170753253</v>
      </c>
      <c r="F136" s="2" t="s">
        <v>17</v>
      </c>
      <c r="G136" s="2" t="s">
        <v>18</v>
      </c>
      <c r="H136" s="2" t="s">
        <v>36</v>
      </c>
      <c r="I136" s="2" t="s">
        <v>37</v>
      </c>
      <c r="J136" s="2" t="s">
        <v>162</v>
      </c>
      <c r="K136" s="2" t="s">
        <v>22</v>
      </c>
      <c r="L136" s="3">
        <v>0.35972222222222222</v>
      </c>
      <c r="M136" s="2" t="s">
        <v>256</v>
      </c>
      <c r="N136" s="2" t="s">
        <v>500</v>
      </c>
      <c r="O136" s="2"/>
    </row>
    <row r="137" spans="1:15" x14ac:dyDescent="0.25">
      <c r="A137" s="2" t="s">
        <v>15</v>
      </c>
      <c r="B137" s="2" t="str">
        <f>"FES1162767523"</f>
        <v>FES1162767523</v>
      </c>
      <c r="C137" s="2" t="s">
        <v>16</v>
      </c>
      <c r="D137" s="2">
        <v>1</v>
      </c>
      <c r="E137" s="2" t="str">
        <f>"2170755547"</f>
        <v>2170755547</v>
      </c>
      <c r="F137" s="2" t="s">
        <v>17</v>
      </c>
      <c r="G137" s="2" t="s">
        <v>18</v>
      </c>
      <c r="H137" s="2" t="s">
        <v>18</v>
      </c>
      <c r="I137" s="2" t="s">
        <v>46</v>
      </c>
      <c r="J137" s="2" t="s">
        <v>139</v>
      </c>
      <c r="K137" s="2" t="s">
        <v>22</v>
      </c>
      <c r="L137" s="3">
        <v>0.41666666666666669</v>
      </c>
      <c r="M137" s="2" t="s">
        <v>140</v>
      </c>
      <c r="N137" s="2" t="s">
        <v>500</v>
      </c>
      <c r="O137" s="2"/>
    </row>
    <row r="138" spans="1:15" x14ac:dyDescent="0.25">
      <c r="A138" s="2" t="s">
        <v>15</v>
      </c>
      <c r="B138" s="2" t="str">
        <f>"FES1162767565"</f>
        <v>FES1162767565</v>
      </c>
      <c r="C138" s="2" t="s">
        <v>16</v>
      </c>
      <c r="D138" s="2">
        <v>1</v>
      </c>
      <c r="E138" s="2" t="str">
        <f>"2170755591"</f>
        <v>2170755591</v>
      </c>
      <c r="F138" s="2" t="s">
        <v>17</v>
      </c>
      <c r="G138" s="2" t="s">
        <v>18</v>
      </c>
      <c r="H138" s="2" t="s">
        <v>36</v>
      </c>
      <c r="I138" s="2" t="s">
        <v>37</v>
      </c>
      <c r="J138" s="2" t="s">
        <v>167</v>
      </c>
      <c r="K138" s="2" t="s">
        <v>22</v>
      </c>
      <c r="L138" s="3">
        <v>0.3576388888888889</v>
      </c>
      <c r="M138" s="2" t="s">
        <v>181</v>
      </c>
      <c r="N138" s="2" t="s">
        <v>500</v>
      </c>
      <c r="O138" s="2"/>
    </row>
    <row r="139" spans="1:15" x14ac:dyDescent="0.25">
      <c r="A139" s="2" t="s">
        <v>15</v>
      </c>
      <c r="B139" s="2" t="str">
        <f>"FES1162767561"</f>
        <v>FES1162767561</v>
      </c>
      <c r="C139" s="2" t="s">
        <v>16</v>
      </c>
      <c r="D139" s="2">
        <v>1</v>
      </c>
      <c r="E139" s="2" t="str">
        <f>"2170753780"</f>
        <v>2170753780</v>
      </c>
      <c r="F139" s="2" t="s">
        <v>17</v>
      </c>
      <c r="G139" s="2" t="s">
        <v>18</v>
      </c>
      <c r="H139" s="2" t="s">
        <v>36</v>
      </c>
      <c r="I139" s="2" t="s">
        <v>37</v>
      </c>
      <c r="J139" s="2" t="s">
        <v>162</v>
      </c>
      <c r="K139" s="2" t="s">
        <v>22</v>
      </c>
      <c r="L139" s="3">
        <v>0.35972222222222222</v>
      </c>
      <c r="M139" s="2" t="s">
        <v>256</v>
      </c>
      <c r="N139" s="2" t="s">
        <v>500</v>
      </c>
      <c r="O139" s="2"/>
    </row>
    <row r="140" spans="1:15" x14ac:dyDescent="0.25">
      <c r="A140" s="2" t="s">
        <v>15</v>
      </c>
      <c r="B140" s="2" t="str">
        <f>"FES1162767562"</f>
        <v>FES1162767562</v>
      </c>
      <c r="C140" s="2" t="s">
        <v>16</v>
      </c>
      <c r="D140" s="2">
        <v>1</v>
      </c>
      <c r="E140" s="2" t="str">
        <f>"2170754888"</f>
        <v>2170754888</v>
      </c>
      <c r="F140" s="2" t="s">
        <v>17</v>
      </c>
      <c r="G140" s="2" t="s">
        <v>18</v>
      </c>
      <c r="H140" s="2" t="s">
        <v>36</v>
      </c>
      <c r="I140" s="2" t="s">
        <v>37</v>
      </c>
      <c r="J140" s="2" t="s">
        <v>162</v>
      </c>
      <c r="K140" s="2" t="s">
        <v>22</v>
      </c>
      <c r="L140" s="3">
        <v>0.35972222222222222</v>
      </c>
      <c r="M140" s="2" t="s">
        <v>256</v>
      </c>
      <c r="N140" s="2" t="s">
        <v>500</v>
      </c>
      <c r="O140" s="2"/>
    </row>
    <row r="141" spans="1:15" x14ac:dyDescent="0.25">
      <c r="A141" s="2" t="s">
        <v>15</v>
      </c>
      <c r="B141" s="2" t="str">
        <f>"FES1162767552"</f>
        <v>FES1162767552</v>
      </c>
      <c r="C141" s="2" t="s">
        <v>16</v>
      </c>
      <c r="D141" s="2">
        <v>1</v>
      </c>
      <c r="E141" s="2" t="str">
        <f>"2170753199"</f>
        <v>2170753199</v>
      </c>
      <c r="F141" s="2" t="s">
        <v>17</v>
      </c>
      <c r="G141" s="2" t="s">
        <v>18</v>
      </c>
      <c r="H141" s="2" t="s">
        <v>36</v>
      </c>
      <c r="I141" s="2" t="s">
        <v>37</v>
      </c>
      <c r="J141" s="2" t="s">
        <v>162</v>
      </c>
      <c r="K141" s="2" t="s">
        <v>22</v>
      </c>
      <c r="L141" s="3">
        <v>0.40138888888888885</v>
      </c>
      <c r="M141" s="2" t="s">
        <v>256</v>
      </c>
      <c r="N141" s="2" t="s">
        <v>500</v>
      </c>
      <c r="O141" s="2"/>
    </row>
    <row r="142" spans="1:15" x14ac:dyDescent="0.25">
      <c r="A142" s="2" t="s">
        <v>15</v>
      </c>
      <c r="B142" s="2" t="str">
        <f>"FES1162767563"</f>
        <v>FES1162767563</v>
      </c>
      <c r="C142" s="2" t="s">
        <v>16</v>
      </c>
      <c r="D142" s="2">
        <v>1</v>
      </c>
      <c r="E142" s="2" t="str">
        <f>"2170753258"</f>
        <v>2170753258</v>
      </c>
      <c r="F142" s="2" t="s">
        <v>17</v>
      </c>
      <c r="G142" s="2" t="s">
        <v>18</v>
      </c>
      <c r="H142" s="2" t="s">
        <v>36</v>
      </c>
      <c r="I142" s="2" t="s">
        <v>37</v>
      </c>
      <c r="J142" s="2" t="s">
        <v>162</v>
      </c>
      <c r="K142" s="2" t="s">
        <v>22</v>
      </c>
      <c r="L142" s="3">
        <v>0.35972222222222222</v>
      </c>
      <c r="M142" s="2" t="s">
        <v>256</v>
      </c>
      <c r="N142" s="2" t="s">
        <v>500</v>
      </c>
      <c r="O142" s="2"/>
    </row>
    <row r="143" spans="1:15" x14ac:dyDescent="0.25">
      <c r="A143" s="2" t="s">
        <v>15</v>
      </c>
      <c r="B143" s="2" t="str">
        <f>"FES1162767406"</f>
        <v>FES1162767406</v>
      </c>
      <c r="C143" s="2" t="s">
        <v>16</v>
      </c>
      <c r="D143" s="2">
        <v>1</v>
      </c>
      <c r="E143" s="2" t="str">
        <f>"2170755400"</f>
        <v>2170755400</v>
      </c>
      <c r="F143" s="2" t="s">
        <v>17</v>
      </c>
      <c r="G143" s="2" t="s">
        <v>18</v>
      </c>
      <c r="H143" s="2" t="s">
        <v>18</v>
      </c>
      <c r="I143" s="2" t="s">
        <v>46</v>
      </c>
      <c r="J143" s="2" t="s">
        <v>168</v>
      </c>
      <c r="K143" s="2" t="s">
        <v>22</v>
      </c>
      <c r="L143" s="3">
        <v>0.36736111111111108</v>
      </c>
      <c r="M143" s="2" t="s">
        <v>260</v>
      </c>
      <c r="N143" s="2" t="s">
        <v>500</v>
      </c>
      <c r="O143" s="2"/>
    </row>
    <row r="144" spans="1:15" x14ac:dyDescent="0.25">
      <c r="A144" s="2" t="s">
        <v>15</v>
      </c>
      <c r="B144" s="2" t="str">
        <f>"FES1162767526"</f>
        <v>FES1162767526</v>
      </c>
      <c r="C144" s="2" t="s">
        <v>16</v>
      </c>
      <c r="D144" s="2">
        <v>1</v>
      </c>
      <c r="E144" s="2" t="str">
        <f>"2170755362"</f>
        <v>2170755362</v>
      </c>
      <c r="F144" s="2" t="s">
        <v>17</v>
      </c>
      <c r="G144" s="2" t="s">
        <v>18</v>
      </c>
      <c r="H144" s="2" t="s">
        <v>18</v>
      </c>
      <c r="I144" s="2" t="s">
        <v>116</v>
      </c>
      <c r="J144" s="2" t="s">
        <v>169</v>
      </c>
      <c r="K144" s="2" t="s">
        <v>22</v>
      </c>
      <c r="L144" s="3">
        <v>0.42708333333333331</v>
      </c>
      <c r="M144" s="2" t="s">
        <v>261</v>
      </c>
      <c r="N144" s="2" t="s">
        <v>500</v>
      </c>
      <c r="O144" s="2"/>
    </row>
    <row r="145" spans="1:15" x14ac:dyDescent="0.25">
      <c r="A145" s="2" t="s">
        <v>15</v>
      </c>
      <c r="B145" s="2" t="str">
        <f>"RFES1162766719"</f>
        <v>RFES1162766719</v>
      </c>
      <c r="C145" s="2" t="s">
        <v>16</v>
      </c>
      <c r="D145" s="2">
        <v>1</v>
      </c>
      <c r="E145" s="2" t="str">
        <f>"2170754755"</f>
        <v>2170754755</v>
      </c>
      <c r="F145" s="2" t="s">
        <v>17</v>
      </c>
      <c r="G145" s="2" t="s">
        <v>18</v>
      </c>
      <c r="H145" s="2" t="s">
        <v>18</v>
      </c>
      <c r="I145" s="2" t="s">
        <v>46</v>
      </c>
      <c r="J145" s="2" t="s">
        <v>170</v>
      </c>
      <c r="K145" s="2" t="s">
        <v>22</v>
      </c>
      <c r="L145" s="3">
        <v>0.37986111111111115</v>
      </c>
      <c r="M145" s="2" t="s">
        <v>262</v>
      </c>
      <c r="N145" s="2" t="s">
        <v>500</v>
      </c>
      <c r="O145" s="2"/>
    </row>
    <row r="146" spans="1:15" x14ac:dyDescent="0.25">
      <c r="A146" s="2" t="s">
        <v>15</v>
      </c>
      <c r="B146" s="2" t="str">
        <f>"FES1162767632"</f>
        <v>FES1162767632</v>
      </c>
      <c r="C146" s="2" t="s">
        <v>22</v>
      </c>
      <c r="D146" s="2">
        <v>1</v>
      </c>
      <c r="E146" s="2" t="str">
        <f>"2170755225"</f>
        <v>2170755225</v>
      </c>
      <c r="F146" s="2" t="s">
        <v>17</v>
      </c>
      <c r="G146" s="2" t="s">
        <v>18</v>
      </c>
      <c r="H146" s="2" t="s">
        <v>19</v>
      </c>
      <c r="I146" s="2" t="s">
        <v>269</v>
      </c>
      <c r="J146" s="2" t="s">
        <v>270</v>
      </c>
      <c r="K146" s="2" t="s">
        <v>174</v>
      </c>
      <c r="L146" s="3">
        <v>0.36527777777777781</v>
      </c>
      <c r="M146" s="2" t="s">
        <v>271</v>
      </c>
      <c r="N146" s="2" t="s">
        <v>500</v>
      </c>
      <c r="O146" s="2"/>
    </row>
    <row r="147" spans="1:15" x14ac:dyDescent="0.25">
      <c r="A147" s="2" t="s">
        <v>15</v>
      </c>
      <c r="B147" s="2" t="str">
        <f>"FES1162767668"</f>
        <v>FES1162767668</v>
      </c>
      <c r="C147" s="2" t="s">
        <v>22</v>
      </c>
      <c r="D147" s="2">
        <v>1</v>
      </c>
      <c r="E147" s="2" t="str">
        <f>"2170755597"</f>
        <v>2170755597</v>
      </c>
      <c r="F147" s="2" t="s">
        <v>17</v>
      </c>
      <c r="G147" s="2" t="s">
        <v>18</v>
      </c>
      <c r="H147" s="2" t="s">
        <v>36</v>
      </c>
      <c r="I147" s="2" t="s">
        <v>37</v>
      </c>
      <c r="J147" s="2" t="s">
        <v>272</v>
      </c>
      <c r="K147" s="2" t="s">
        <v>174</v>
      </c>
      <c r="L147" s="3">
        <v>0.38194444444444442</v>
      </c>
      <c r="M147" s="2" t="s">
        <v>273</v>
      </c>
      <c r="N147" s="2" t="s">
        <v>500</v>
      </c>
      <c r="O147" s="2"/>
    </row>
    <row r="148" spans="1:15" x14ac:dyDescent="0.25">
      <c r="A148" s="2" t="s">
        <v>15</v>
      </c>
      <c r="B148" s="2" t="str">
        <f>"FES1162767699"</f>
        <v>FES1162767699</v>
      </c>
      <c r="C148" s="2" t="s">
        <v>22</v>
      </c>
      <c r="D148" s="2">
        <v>1</v>
      </c>
      <c r="E148" s="2" t="str">
        <f>"2170755647"</f>
        <v>2170755647</v>
      </c>
      <c r="F148" s="2" t="s">
        <v>17</v>
      </c>
      <c r="G148" s="2" t="s">
        <v>18</v>
      </c>
      <c r="H148" s="2" t="s">
        <v>88</v>
      </c>
      <c r="I148" s="2" t="s">
        <v>109</v>
      </c>
      <c r="J148" s="2" t="s">
        <v>69</v>
      </c>
      <c r="K148" s="2" t="s">
        <v>174</v>
      </c>
      <c r="L148" s="3">
        <v>0.42708333333333331</v>
      </c>
      <c r="M148" s="2" t="s">
        <v>274</v>
      </c>
      <c r="N148" s="2" t="s">
        <v>500</v>
      </c>
      <c r="O148" s="2"/>
    </row>
    <row r="149" spans="1:15" x14ac:dyDescent="0.25">
      <c r="A149" s="2" t="s">
        <v>15</v>
      </c>
      <c r="B149" s="2" t="str">
        <f>"FES1162767589"</f>
        <v>FES1162767589</v>
      </c>
      <c r="C149" s="2" t="s">
        <v>22</v>
      </c>
      <c r="D149" s="2">
        <v>1</v>
      </c>
      <c r="E149" s="2" t="str">
        <f>"2170753439"</f>
        <v>2170753439</v>
      </c>
      <c r="F149" s="2" t="s">
        <v>17</v>
      </c>
      <c r="G149" s="2" t="s">
        <v>18</v>
      </c>
      <c r="H149" s="2" t="s">
        <v>88</v>
      </c>
      <c r="I149" s="2" t="s">
        <v>109</v>
      </c>
      <c r="J149" s="2" t="s">
        <v>275</v>
      </c>
      <c r="K149" s="2" t="s">
        <v>174</v>
      </c>
      <c r="L149" s="3">
        <v>0.5</v>
      </c>
      <c r="M149" s="2" t="s">
        <v>276</v>
      </c>
      <c r="N149" s="2" t="s">
        <v>500</v>
      </c>
      <c r="O149" s="2"/>
    </row>
    <row r="150" spans="1:15" x14ac:dyDescent="0.25">
      <c r="A150" s="2" t="s">
        <v>15</v>
      </c>
      <c r="B150" s="2" t="str">
        <f>"FES1162767620"</f>
        <v>FES1162767620</v>
      </c>
      <c r="C150" s="2" t="s">
        <v>22</v>
      </c>
      <c r="D150" s="2">
        <v>1</v>
      </c>
      <c r="E150" s="2" t="str">
        <f>"21707055038"</f>
        <v>21707055038</v>
      </c>
      <c r="F150" s="2" t="s">
        <v>17</v>
      </c>
      <c r="G150" s="2" t="s">
        <v>18</v>
      </c>
      <c r="H150" s="2" t="s">
        <v>18</v>
      </c>
      <c r="I150" s="2" t="s">
        <v>63</v>
      </c>
      <c r="J150" s="2" t="s">
        <v>142</v>
      </c>
      <c r="K150" s="2" t="s">
        <v>174</v>
      </c>
      <c r="L150" s="3">
        <v>0.43333333333333335</v>
      </c>
      <c r="M150" s="2" t="s">
        <v>277</v>
      </c>
      <c r="N150" s="2" t="s">
        <v>500</v>
      </c>
      <c r="O150" s="2"/>
    </row>
    <row r="151" spans="1:15" x14ac:dyDescent="0.25">
      <c r="A151" s="2" t="s">
        <v>15</v>
      </c>
      <c r="B151" s="2" t="str">
        <f>"FES1162767596"</f>
        <v>FES1162767596</v>
      </c>
      <c r="C151" s="2" t="s">
        <v>22</v>
      </c>
      <c r="D151" s="2">
        <v>1</v>
      </c>
      <c r="E151" s="2" t="str">
        <f>"2170754087"</f>
        <v>2170754087</v>
      </c>
      <c r="F151" s="2" t="s">
        <v>17</v>
      </c>
      <c r="G151" s="2" t="s">
        <v>18</v>
      </c>
      <c r="H151" s="2" t="s">
        <v>36</v>
      </c>
      <c r="I151" s="2" t="s">
        <v>134</v>
      </c>
      <c r="J151" s="2" t="s">
        <v>135</v>
      </c>
      <c r="K151" s="2" t="s">
        <v>174</v>
      </c>
      <c r="L151" s="3">
        <v>0.55277777777777781</v>
      </c>
      <c r="M151" s="2" t="s">
        <v>278</v>
      </c>
      <c r="N151" s="2" t="s">
        <v>500</v>
      </c>
      <c r="O151" s="2"/>
    </row>
    <row r="152" spans="1:15" x14ac:dyDescent="0.25">
      <c r="A152" s="2" t="s">
        <v>15</v>
      </c>
      <c r="B152" s="2" t="str">
        <f>"FES1162767655"</f>
        <v>FES1162767655</v>
      </c>
      <c r="C152" s="2" t="s">
        <v>22</v>
      </c>
      <c r="D152" s="2">
        <v>1</v>
      </c>
      <c r="E152" s="2" t="str">
        <f>"2170755520"</f>
        <v>2170755520</v>
      </c>
      <c r="F152" s="2" t="s">
        <v>205</v>
      </c>
      <c r="G152" s="2" t="s">
        <v>206</v>
      </c>
      <c r="H152" s="2" t="s">
        <v>36</v>
      </c>
      <c r="I152" s="2" t="s">
        <v>37</v>
      </c>
      <c r="J152" s="2" t="s">
        <v>279</v>
      </c>
      <c r="K152" s="2" t="s">
        <v>411</v>
      </c>
      <c r="L152" s="3">
        <v>0.36458333333333331</v>
      </c>
      <c r="M152" s="2" t="s">
        <v>320</v>
      </c>
      <c r="N152" s="2" t="s">
        <v>500</v>
      </c>
      <c r="O152" s="2"/>
    </row>
    <row r="153" spans="1:15" x14ac:dyDescent="0.25">
      <c r="A153" s="2" t="s">
        <v>15</v>
      </c>
      <c r="B153" s="2" t="str">
        <f>"RFES1162767078"</f>
        <v>RFES1162767078</v>
      </c>
      <c r="C153" s="2" t="s">
        <v>22</v>
      </c>
      <c r="D153" s="2">
        <v>1</v>
      </c>
      <c r="E153" s="2" t="str">
        <f>"2170753249"</f>
        <v>2170753249</v>
      </c>
      <c r="F153" s="2" t="s">
        <v>17</v>
      </c>
      <c r="G153" s="2" t="s">
        <v>18</v>
      </c>
      <c r="H153" s="2" t="s">
        <v>18</v>
      </c>
      <c r="I153" s="2" t="s">
        <v>46</v>
      </c>
      <c r="J153" s="2" t="s">
        <v>170</v>
      </c>
      <c r="K153" s="2" t="s">
        <v>174</v>
      </c>
      <c r="L153" s="3">
        <v>0.3666666666666667</v>
      </c>
      <c r="M153" s="2" t="s">
        <v>262</v>
      </c>
      <c r="N153" s="2" t="s">
        <v>500</v>
      </c>
      <c r="O153" s="2"/>
    </row>
    <row r="154" spans="1:15" x14ac:dyDescent="0.25">
      <c r="A154" s="2" t="s">
        <v>15</v>
      </c>
      <c r="B154" s="2" t="str">
        <f>"RFES1162767047"</f>
        <v>RFES1162767047</v>
      </c>
      <c r="C154" s="2" t="s">
        <v>22</v>
      </c>
      <c r="D154" s="2">
        <v>1</v>
      </c>
      <c r="E154" s="2" t="str">
        <f>"2170754974"</f>
        <v>2170754974</v>
      </c>
      <c r="F154" s="2" t="s">
        <v>17</v>
      </c>
      <c r="G154" s="2" t="s">
        <v>18</v>
      </c>
      <c r="H154" s="2" t="s">
        <v>18</v>
      </c>
      <c r="I154" s="2" t="s">
        <v>46</v>
      </c>
      <c r="J154" s="2" t="s">
        <v>170</v>
      </c>
      <c r="K154" s="2" t="s">
        <v>174</v>
      </c>
      <c r="L154" s="3">
        <v>0.3666666666666667</v>
      </c>
      <c r="M154" s="2" t="s">
        <v>262</v>
      </c>
      <c r="N154" s="2" t="s">
        <v>500</v>
      </c>
      <c r="O154" s="2"/>
    </row>
    <row r="155" spans="1:15" x14ac:dyDescent="0.25">
      <c r="A155" s="2" t="s">
        <v>15</v>
      </c>
      <c r="B155" s="2" t="str">
        <f>"RFES1162767137"</f>
        <v>RFES1162767137</v>
      </c>
      <c r="C155" s="2" t="s">
        <v>22</v>
      </c>
      <c r="D155" s="2">
        <v>1</v>
      </c>
      <c r="E155" s="2" t="str">
        <f>"2170755081"</f>
        <v>2170755081</v>
      </c>
      <c r="F155" s="2" t="s">
        <v>17</v>
      </c>
      <c r="G155" s="2" t="s">
        <v>18</v>
      </c>
      <c r="H155" s="2" t="s">
        <v>18</v>
      </c>
      <c r="I155" s="2" t="s">
        <v>46</v>
      </c>
      <c r="J155" s="2" t="s">
        <v>170</v>
      </c>
      <c r="K155" s="2" t="s">
        <v>174</v>
      </c>
      <c r="L155" s="3">
        <v>0.3666666666666667</v>
      </c>
      <c r="M155" s="2" t="s">
        <v>262</v>
      </c>
      <c r="N155" s="2" t="s">
        <v>500</v>
      </c>
      <c r="O155" s="2"/>
    </row>
    <row r="156" spans="1:15" x14ac:dyDescent="0.25">
      <c r="A156" s="2" t="s">
        <v>15</v>
      </c>
      <c r="B156" s="2" t="str">
        <f>"FES1162767636"</f>
        <v>FES1162767636</v>
      </c>
      <c r="C156" s="2" t="s">
        <v>22</v>
      </c>
      <c r="D156" s="2">
        <v>1</v>
      </c>
      <c r="E156" s="2" t="str">
        <f>"2170755309"</f>
        <v>2170755309</v>
      </c>
      <c r="F156" s="2" t="s">
        <v>17</v>
      </c>
      <c r="G156" s="2" t="s">
        <v>18</v>
      </c>
      <c r="H156" s="2" t="s">
        <v>36</v>
      </c>
      <c r="I156" s="2" t="s">
        <v>37</v>
      </c>
      <c r="J156" s="2" t="s">
        <v>280</v>
      </c>
      <c r="K156" s="2" t="s">
        <v>411</v>
      </c>
      <c r="L156" s="3">
        <v>0.35833333333333334</v>
      </c>
      <c r="M156" s="2" t="s">
        <v>501</v>
      </c>
      <c r="N156" s="2" t="s">
        <v>500</v>
      </c>
      <c r="O156" s="2"/>
    </row>
    <row r="157" spans="1:15" x14ac:dyDescent="0.25">
      <c r="A157" s="2" t="s">
        <v>15</v>
      </c>
      <c r="B157" s="2" t="str">
        <f>"FES1162767610"</f>
        <v>FES1162767610</v>
      </c>
      <c r="C157" s="2" t="s">
        <v>22</v>
      </c>
      <c r="D157" s="2">
        <v>1</v>
      </c>
      <c r="E157" s="2" t="str">
        <f>"2170754711"</f>
        <v>2170754711</v>
      </c>
      <c r="F157" s="2" t="s">
        <v>17</v>
      </c>
      <c r="G157" s="2" t="s">
        <v>18</v>
      </c>
      <c r="H157" s="2" t="s">
        <v>19</v>
      </c>
      <c r="I157" s="2" t="s">
        <v>20</v>
      </c>
      <c r="J157" s="2" t="s">
        <v>281</v>
      </c>
      <c r="K157" s="2" t="s">
        <v>174</v>
      </c>
      <c r="L157" s="3">
        <v>0.52708333333333335</v>
      </c>
      <c r="M157" s="2" t="s">
        <v>282</v>
      </c>
      <c r="N157" s="2" t="s">
        <v>500</v>
      </c>
      <c r="O157" s="2"/>
    </row>
    <row r="158" spans="1:15" x14ac:dyDescent="0.25">
      <c r="A158" s="2" t="s">
        <v>15</v>
      </c>
      <c r="B158" s="2" t="str">
        <f>"FES1162767621"</f>
        <v>FES1162767621</v>
      </c>
      <c r="C158" s="2" t="s">
        <v>22</v>
      </c>
      <c r="D158" s="2">
        <v>1</v>
      </c>
      <c r="E158" s="2" t="str">
        <f>"2170755059"</f>
        <v>2170755059</v>
      </c>
      <c r="F158" s="2" t="s">
        <v>17</v>
      </c>
      <c r="G158" s="2" t="s">
        <v>18</v>
      </c>
      <c r="H158" s="2" t="s">
        <v>36</v>
      </c>
      <c r="I158" s="2" t="s">
        <v>134</v>
      </c>
      <c r="J158" s="2" t="s">
        <v>283</v>
      </c>
      <c r="K158" s="2" t="s">
        <v>174</v>
      </c>
      <c r="L158" s="3">
        <v>0.55486111111111114</v>
      </c>
      <c r="M158" s="2" t="s">
        <v>284</v>
      </c>
      <c r="N158" s="2" t="s">
        <v>500</v>
      </c>
      <c r="O158" s="2"/>
    </row>
    <row r="159" spans="1:15" x14ac:dyDescent="0.25">
      <c r="A159" s="2" t="s">
        <v>15</v>
      </c>
      <c r="B159" s="2" t="str">
        <f>"FES1162767602"</f>
        <v>FES1162767602</v>
      </c>
      <c r="C159" s="2" t="s">
        <v>22</v>
      </c>
      <c r="D159" s="2">
        <v>1</v>
      </c>
      <c r="E159" s="2" t="str">
        <f>"2170754294"</f>
        <v>2170754294</v>
      </c>
      <c r="F159" s="2" t="s">
        <v>17</v>
      </c>
      <c r="G159" s="2" t="s">
        <v>18</v>
      </c>
      <c r="H159" s="2" t="s">
        <v>18</v>
      </c>
      <c r="I159" s="2" t="s">
        <v>46</v>
      </c>
      <c r="J159" s="2" t="s">
        <v>285</v>
      </c>
      <c r="K159" s="2" t="s">
        <v>174</v>
      </c>
      <c r="L159" s="3">
        <v>0.30555555555555552</v>
      </c>
      <c r="M159" s="2" t="s">
        <v>286</v>
      </c>
      <c r="N159" s="2" t="s">
        <v>500</v>
      </c>
      <c r="O159" s="2"/>
    </row>
    <row r="160" spans="1:15" x14ac:dyDescent="0.25">
      <c r="A160" s="2" t="s">
        <v>15</v>
      </c>
      <c r="B160" s="2" t="str">
        <f>"FES1162767694"</f>
        <v>FES1162767694</v>
      </c>
      <c r="C160" s="2" t="s">
        <v>22</v>
      </c>
      <c r="D160" s="2">
        <v>1</v>
      </c>
      <c r="E160" s="2" t="str">
        <f>"2170755635"</f>
        <v>2170755635</v>
      </c>
      <c r="F160" s="2" t="s">
        <v>17</v>
      </c>
      <c r="G160" s="2" t="s">
        <v>18</v>
      </c>
      <c r="H160" s="2" t="s">
        <v>88</v>
      </c>
      <c r="I160" s="2" t="s">
        <v>109</v>
      </c>
      <c r="J160" s="2" t="s">
        <v>287</v>
      </c>
      <c r="K160" s="2" t="s">
        <v>174</v>
      </c>
      <c r="L160" s="3">
        <v>0.43055555555555558</v>
      </c>
      <c r="M160" s="2" t="s">
        <v>288</v>
      </c>
      <c r="N160" s="2" t="s">
        <v>500</v>
      </c>
      <c r="O160" s="2"/>
    </row>
    <row r="161" spans="1:15" x14ac:dyDescent="0.25">
      <c r="A161" s="2" t="s">
        <v>15</v>
      </c>
      <c r="B161" s="2" t="str">
        <f>"FES1162767597"</f>
        <v>FES1162767597</v>
      </c>
      <c r="C161" s="2" t="s">
        <v>22</v>
      </c>
      <c r="D161" s="2">
        <v>1</v>
      </c>
      <c r="E161" s="2" t="str">
        <f>"2170754089"</f>
        <v>2170754089</v>
      </c>
      <c r="F161" s="2" t="s">
        <v>17</v>
      </c>
      <c r="G161" s="2" t="s">
        <v>18</v>
      </c>
      <c r="H161" s="2" t="s">
        <v>18</v>
      </c>
      <c r="I161" s="2" t="s">
        <v>65</v>
      </c>
      <c r="J161" s="2" t="s">
        <v>87</v>
      </c>
      <c r="K161" s="2" t="s">
        <v>174</v>
      </c>
      <c r="L161" s="3">
        <v>0.31736111111111115</v>
      </c>
      <c r="M161" s="2" t="s">
        <v>289</v>
      </c>
      <c r="N161" s="2" t="s">
        <v>500</v>
      </c>
      <c r="O161" s="2"/>
    </row>
    <row r="162" spans="1:15" x14ac:dyDescent="0.25">
      <c r="A162" s="2" t="s">
        <v>15</v>
      </c>
      <c r="B162" s="2" t="str">
        <f>"FES1162767600"</f>
        <v>FES1162767600</v>
      </c>
      <c r="C162" s="2" t="s">
        <v>22</v>
      </c>
      <c r="D162" s="2">
        <v>1</v>
      </c>
      <c r="E162" s="2" t="str">
        <f>"2170754188"</f>
        <v>2170754188</v>
      </c>
      <c r="F162" s="2" t="s">
        <v>17</v>
      </c>
      <c r="G162" s="2" t="s">
        <v>18</v>
      </c>
      <c r="H162" s="2" t="s">
        <v>18</v>
      </c>
      <c r="I162" s="2" t="s">
        <v>290</v>
      </c>
      <c r="J162" s="2" t="s">
        <v>291</v>
      </c>
      <c r="K162" s="2" t="s">
        <v>174</v>
      </c>
      <c r="L162" s="3">
        <v>0.4375</v>
      </c>
      <c r="M162" s="2" t="s">
        <v>292</v>
      </c>
      <c r="N162" s="2" t="s">
        <v>500</v>
      </c>
      <c r="O162" s="2"/>
    </row>
    <row r="163" spans="1:15" x14ac:dyDescent="0.25">
      <c r="A163" s="2" t="s">
        <v>15</v>
      </c>
      <c r="B163" s="2" t="str">
        <f>"FES1162767599"</f>
        <v>FES1162767599</v>
      </c>
      <c r="C163" s="2" t="s">
        <v>22</v>
      </c>
      <c r="D163" s="2">
        <v>1</v>
      </c>
      <c r="E163" s="2" t="str">
        <f>"2170754185"</f>
        <v>2170754185</v>
      </c>
      <c r="F163" s="2" t="s">
        <v>17</v>
      </c>
      <c r="G163" s="2" t="s">
        <v>18</v>
      </c>
      <c r="H163" s="2" t="s">
        <v>18</v>
      </c>
      <c r="I163" s="2" t="s">
        <v>290</v>
      </c>
      <c r="J163" s="2" t="s">
        <v>291</v>
      </c>
      <c r="K163" s="2" t="s">
        <v>174</v>
      </c>
      <c r="L163" s="3">
        <v>0.4375</v>
      </c>
      <c r="M163" s="2" t="s">
        <v>292</v>
      </c>
      <c r="N163" s="2" t="s">
        <v>500</v>
      </c>
      <c r="O163" s="2"/>
    </row>
    <row r="164" spans="1:15" x14ac:dyDescent="0.25">
      <c r="A164" s="2" t="s">
        <v>15</v>
      </c>
      <c r="B164" s="2" t="str">
        <f>"FES1162767622"</f>
        <v>FES1162767622</v>
      </c>
      <c r="C164" s="2" t="s">
        <v>22</v>
      </c>
      <c r="D164" s="2">
        <v>1</v>
      </c>
      <c r="E164" s="2" t="str">
        <f>"2170755072"</f>
        <v>2170755072</v>
      </c>
      <c r="F164" s="2" t="s">
        <v>17</v>
      </c>
      <c r="G164" s="2" t="s">
        <v>18</v>
      </c>
      <c r="H164" s="2" t="s">
        <v>18</v>
      </c>
      <c r="I164" s="2" t="s">
        <v>50</v>
      </c>
      <c r="J164" s="2" t="s">
        <v>293</v>
      </c>
      <c r="K164" s="2" t="s">
        <v>174</v>
      </c>
      <c r="L164" s="3">
        <v>0.4152777777777778</v>
      </c>
      <c r="M164" s="2" t="s">
        <v>294</v>
      </c>
      <c r="N164" s="2" t="s">
        <v>500</v>
      </c>
      <c r="O164" s="2"/>
    </row>
    <row r="165" spans="1:15" x14ac:dyDescent="0.25">
      <c r="A165" s="2" t="s">
        <v>15</v>
      </c>
      <c r="B165" s="2" t="str">
        <f>"FES1162767590"</f>
        <v>FES1162767590</v>
      </c>
      <c r="C165" s="2" t="s">
        <v>22</v>
      </c>
      <c r="D165" s="2">
        <v>1</v>
      </c>
      <c r="E165" s="2" t="str">
        <f>"2170753565"</f>
        <v>2170753565</v>
      </c>
      <c r="F165" s="2" t="s">
        <v>17</v>
      </c>
      <c r="G165" s="2" t="s">
        <v>18</v>
      </c>
      <c r="H165" s="2" t="s">
        <v>18</v>
      </c>
      <c r="I165" s="2" t="s">
        <v>63</v>
      </c>
      <c r="J165" s="2" t="s">
        <v>53</v>
      </c>
      <c r="K165" s="2" t="s">
        <v>174</v>
      </c>
      <c r="L165" s="3">
        <v>0.41666666666666669</v>
      </c>
      <c r="M165" s="2" t="s">
        <v>295</v>
      </c>
      <c r="N165" s="2" t="s">
        <v>500</v>
      </c>
      <c r="O165" s="2"/>
    </row>
    <row r="166" spans="1:15" x14ac:dyDescent="0.25">
      <c r="A166" s="2" t="s">
        <v>15</v>
      </c>
      <c r="B166" s="2" t="str">
        <f>"FES1162767673"</f>
        <v>FES1162767673</v>
      </c>
      <c r="C166" s="2" t="s">
        <v>22</v>
      </c>
      <c r="D166" s="2">
        <v>1</v>
      </c>
      <c r="E166" s="2" t="str">
        <f>"2170755604"</f>
        <v>2170755604</v>
      </c>
      <c r="F166" s="2" t="s">
        <v>17</v>
      </c>
      <c r="G166" s="2" t="s">
        <v>18</v>
      </c>
      <c r="H166" s="2" t="s">
        <v>18</v>
      </c>
      <c r="I166" s="2" t="s">
        <v>65</v>
      </c>
      <c r="J166" s="2" t="s">
        <v>296</v>
      </c>
      <c r="K166" s="2" t="s">
        <v>174</v>
      </c>
      <c r="L166" s="3">
        <v>0.30277777777777776</v>
      </c>
      <c r="M166" s="2" t="s">
        <v>297</v>
      </c>
      <c r="N166" s="2" t="s">
        <v>500</v>
      </c>
      <c r="O166" s="2"/>
    </row>
    <row r="167" spans="1:15" x14ac:dyDescent="0.25">
      <c r="A167" s="2" t="s">
        <v>15</v>
      </c>
      <c r="B167" s="2" t="str">
        <f>"FES1162767691"</f>
        <v>FES1162767691</v>
      </c>
      <c r="C167" s="2" t="s">
        <v>22</v>
      </c>
      <c r="D167" s="2">
        <v>1</v>
      </c>
      <c r="E167" s="2" t="str">
        <f>"2170753724"</f>
        <v>2170753724</v>
      </c>
      <c r="F167" s="2" t="s">
        <v>17</v>
      </c>
      <c r="G167" s="2" t="s">
        <v>18</v>
      </c>
      <c r="H167" s="2" t="s">
        <v>18</v>
      </c>
      <c r="I167" s="2" t="s">
        <v>46</v>
      </c>
      <c r="J167" s="2" t="s">
        <v>59</v>
      </c>
      <c r="K167" s="2" t="s">
        <v>411</v>
      </c>
      <c r="L167" s="3">
        <v>0.56597222222222221</v>
      </c>
      <c r="M167" s="2" t="s">
        <v>502</v>
      </c>
      <c r="N167" s="2" t="s">
        <v>500</v>
      </c>
      <c r="O167" s="2"/>
    </row>
    <row r="168" spans="1:15" x14ac:dyDescent="0.25">
      <c r="A168" s="2" t="s">
        <v>15</v>
      </c>
      <c r="B168" s="2" t="str">
        <f>"FES1162767665"</f>
        <v>FES1162767665</v>
      </c>
      <c r="C168" s="2" t="s">
        <v>22</v>
      </c>
      <c r="D168" s="2">
        <v>1</v>
      </c>
      <c r="E168" s="2" t="str">
        <f>"2170755550"</f>
        <v>2170755550</v>
      </c>
      <c r="F168" s="2" t="s">
        <v>17</v>
      </c>
      <c r="G168" s="2" t="s">
        <v>18</v>
      </c>
      <c r="H168" s="2" t="s">
        <v>18</v>
      </c>
      <c r="I168" s="2" t="s">
        <v>57</v>
      </c>
      <c r="J168" s="2" t="s">
        <v>298</v>
      </c>
      <c r="K168" s="2" t="s">
        <v>174</v>
      </c>
      <c r="L168" s="3">
        <v>0.31805555555555554</v>
      </c>
      <c r="M168" s="2" t="s">
        <v>299</v>
      </c>
      <c r="N168" s="2" t="s">
        <v>500</v>
      </c>
      <c r="O168" s="2"/>
    </row>
    <row r="169" spans="1:15" x14ac:dyDescent="0.25">
      <c r="A169" s="2" t="s">
        <v>15</v>
      </c>
      <c r="B169" s="2" t="str">
        <f>"FES1162767573"</f>
        <v>FES1162767573</v>
      </c>
      <c r="C169" s="2" t="s">
        <v>22</v>
      </c>
      <c r="D169" s="2">
        <v>1</v>
      </c>
      <c r="E169" s="2" t="str">
        <f>"2170750345"</f>
        <v>2170750345</v>
      </c>
      <c r="F169" s="2" t="s">
        <v>17</v>
      </c>
      <c r="G169" s="2" t="s">
        <v>18</v>
      </c>
      <c r="H169" s="2" t="s">
        <v>18</v>
      </c>
      <c r="I169" s="2" t="s">
        <v>63</v>
      </c>
      <c r="J169" s="2" t="s">
        <v>93</v>
      </c>
      <c r="K169" s="2" t="s">
        <v>174</v>
      </c>
      <c r="L169" s="3">
        <v>0.42569444444444443</v>
      </c>
      <c r="M169" s="2" t="s">
        <v>300</v>
      </c>
      <c r="N169" s="2" t="s">
        <v>500</v>
      </c>
      <c r="O169" s="2"/>
    </row>
    <row r="170" spans="1:15" x14ac:dyDescent="0.25">
      <c r="A170" s="2" t="s">
        <v>15</v>
      </c>
      <c r="B170" s="2" t="str">
        <f>"FES1162767639"</f>
        <v>FES1162767639</v>
      </c>
      <c r="C170" s="2" t="s">
        <v>22</v>
      </c>
      <c r="D170" s="2">
        <v>1</v>
      </c>
      <c r="E170" s="2" t="str">
        <f>"2170755329"</f>
        <v>2170755329</v>
      </c>
      <c r="F170" s="2" t="s">
        <v>17</v>
      </c>
      <c r="G170" s="2" t="s">
        <v>18</v>
      </c>
      <c r="H170" s="2" t="s">
        <v>18</v>
      </c>
      <c r="I170" s="2" t="s">
        <v>57</v>
      </c>
      <c r="J170" s="2" t="s">
        <v>301</v>
      </c>
      <c r="K170" s="2" t="s">
        <v>174</v>
      </c>
      <c r="L170" s="3">
        <v>0.41666666666666669</v>
      </c>
      <c r="M170" s="2" t="s">
        <v>302</v>
      </c>
      <c r="N170" s="2" t="s">
        <v>500</v>
      </c>
      <c r="O170" s="2"/>
    </row>
    <row r="171" spans="1:15" x14ac:dyDescent="0.25">
      <c r="A171" s="2" t="s">
        <v>15</v>
      </c>
      <c r="B171" s="2" t="str">
        <f>"FES1162767662"</f>
        <v>FES1162767662</v>
      </c>
      <c r="C171" s="2" t="s">
        <v>22</v>
      </c>
      <c r="D171" s="2">
        <v>1</v>
      </c>
      <c r="E171" s="2" t="str">
        <f>"2170755546"</f>
        <v>2170755546</v>
      </c>
      <c r="F171" s="2" t="s">
        <v>17</v>
      </c>
      <c r="G171" s="2" t="s">
        <v>18</v>
      </c>
      <c r="H171" s="2" t="s">
        <v>36</v>
      </c>
      <c r="I171" s="2" t="s">
        <v>37</v>
      </c>
      <c r="J171" s="2" t="s">
        <v>303</v>
      </c>
      <c r="K171" s="2" t="s">
        <v>174</v>
      </c>
      <c r="L171" s="3">
        <v>0.40277777777777773</v>
      </c>
      <c r="M171" s="2" t="s">
        <v>304</v>
      </c>
      <c r="N171" s="2" t="s">
        <v>500</v>
      </c>
      <c r="O171" s="2"/>
    </row>
    <row r="172" spans="1:15" x14ac:dyDescent="0.25">
      <c r="A172" s="2" t="s">
        <v>15</v>
      </c>
      <c r="B172" s="2" t="str">
        <f>"FES1162767696"</f>
        <v>FES1162767696</v>
      </c>
      <c r="C172" s="2" t="s">
        <v>22</v>
      </c>
      <c r="D172" s="2">
        <v>1</v>
      </c>
      <c r="E172" s="2" t="str">
        <f>"2170755642"</f>
        <v>2170755642</v>
      </c>
      <c r="F172" s="2" t="s">
        <v>17</v>
      </c>
      <c r="G172" s="2" t="s">
        <v>18</v>
      </c>
      <c r="H172" s="2" t="s">
        <v>36</v>
      </c>
      <c r="I172" s="2" t="s">
        <v>37</v>
      </c>
      <c r="J172" s="2" t="s">
        <v>55</v>
      </c>
      <c r="K172" s="2" t="s">
        <v>174</v>
      </c>
      <c r="L172" s="3">
        <v>0.40277777777777773</v>
      </c>
      <c r="M172" s="2" t="s">
        <v>305</v>
      </c>
      <c r="N172" s="2" t="s">
        <v>500</v>
      </c>
      <c r="O172" s="2"/>
    </row>
    <row r="173" spans="1:15" x14ac:dyDescent="0.25">
      <c r="A173" s="2" t="s">
        <v>15</v>
      </c>
      <c r="B173" s="2" t="str">
        <f>"FES1162767685"</f>
        <v>FES1162767685</v>
      </c>
      <c r="C173" s="2" t="s">
        <v>22</v>
      </c>
      <c r="D173" s="2">
        <v>1</v>
      </c>
      <c r="E173" s="2" t="str">
        <f>"2170755637"</f>
        <v>2170755637</v>
      </c>
      <c r="F173" s="2" t="s">
        <v>17</v>
      </c>
      <c r="G173" s="2" t="s">
        <v>18</v>
      </c>
      <c r="H173" s="2" t="s">
        <v>36</v>
      </c>
      <c r="I173" s="2" t="s">
        <v>67</v>
      </c>
      <c r="J173" s="2" t="s">
        <v>68</v>
      </c>
      <c r="K173" s="2" t="s">
        <v>174</v>
      </c>
      <c r="L173" s="3">
        <v>0.38194444444444442</v>
      </c>
      <c r="M173" s="2" t="s">
        <v>306</v>
      </c>
      <c r="N173" s="2" t="s">
        <v>500</v>
      </c>
      <c r="O173" s="2"/>
    </row>
    <row r="174" spans="1:15" x14ac:dyDescent="0.25">
      <c r="A174" s="2" t="s">
        <v>15</v>
      </c>
      <c r="B174" s="2" t="str">
        <f>"FES1162767722"</f>
        <v>FES1162767722</v>
      </c>
      <c r="C174" s="2" t="s">
        <v>22</v>
      </c>
      <c r="D174" s="2">
        <v>1</v>
      </c>
      <c r="E174" s="2" t="str">
        <f>"2170755666"</f>
        <v>2170755666</v>
      </c>
      <c r="F174" s="2" t="s">
        <v>17</v>
      </c>
      <c r="G174" s="2" t="s">
        <v>18</v>
      </c>
      <c r="H174" s="2" t="s">
        <v>36</v>
      </c>
      <c r="I174" s="2" t="s">
        <v>37</v>
      </c>
      <c r="J174" s="2" t="s">
        <v>303</v>
      </c>
      <c r="K174" s="2" t="s">
        <v>174</v>
      </c>
      <c r="L174" s="3">
        <v>0.40277777777777773</v>
      </c>
      <c r="M174" s="2" t="s">
        <v>307</v>
      </c>
      <c r="N174" s="2" t="s">
        <v>500</v>
      </c>
      <c r="O174" s="2"/>
    </row>
    <row r="175" spans="1:15" x14ac:dyDescent="0.25">
      <c r="A175" s="2" t="s">
        <v>15</v>
      </c>
      <c r="B175" s="2" t="str">
        <f>"FES1162767633"</f>
        <v>FES1162767633</v>
      </c>
      <c r="C175" s="2" t="s">
        <v>22</v>
      </c>
      <c r="D175" s="2">
        <v>1</v>
      </c>
      <c r="E175" s="2" t="str">
        <f>"2170755240"</f>
        <v>2170755240</v>
      </c>
      <c r="F175" s="2" t="s">
        <v>17</v>
      </c>
      <c r="G175" s="2" t="s">
        <v>18</v>
      </c>
      <c r="H175" s="2" t="s">
        <v>36</v>
      </c>
      <c r="I175" s="2" t="s">
        <v>37</v>
      </c>
      <c r="J175" s="2" t="s">
        <v>54</v>
      </c>
      <c r="K175" s="2" t="s">
        <v>174</v>
      </c>
      <c r="L175" s="3">
        <v>0.43055555555555558</v>
      </c>
      <c r="M175" s="2" t="s">
        <v>308</v>
      </c>
      <c r="N175" s="2" t="s">
        <v>500</v>
      </c>
      <c r="O175" s="2"/>
    </row>
    <row r="176" spans="1:15" x14ac:dyDescent="0.25">
      <c r="A176" s="2" t="s">
        <v>15</v>
      </c>
      <c r="B176" s="2" t="str">
        <f>"FES1162767684"</f>
        <v>FES1162767684</v>
      </c>
      <c r="C176" s="2" t="s">
        <v>22</v>
      </c>
      <c r="D176" s="2">
        <v>1</v>
      </c>
      <c r="E176" s="2" t="str">
        <f>"2170755636"</f>
        <v>2170755636</v>
      </c>
      <c r="F176" s="2" t="s">
        <v>17</v>
      </c>
      <c r="G176" s="2" t="s">
        <v>18</v>
      </c>
      <c r="H176" s="2" t="s">
        <v>18</v>
      </c>
      <c r="I176" s="2" t="s">
        <v>105</v>
      </c>
      <c r="J176" s="2" t="s">
        <v>309</v>
      </c>
      <c r="K176" s="2" t="s">
        <v>174</v>
      </c>
      <c r="L176" s="3">
        <v>0.375</v>
      </c>
      <c r="M176" s="2" t="s">
        <v>310</v>
      </c>
      <c r="N176" s="2" t="s">
        <v>500</v>
      </c>
      <c r="O176" s="2"/>
    </row>
    <row r="177" spans="1:15" x14ac:dyDescent="0.25">
      <c r="A177" s="2" t="s">
        <v>15</v>
      </c>
      <c r="B177" s="2" t="str">
        <f>"FES1162767582"</f>
        <v>FES1162767582</v>
      </c>
      <c r="C177" s="2" t="s">
        <v>22</v>
      </c>
      <c r="D177" s="2">
        <v>1</v>
      </c>
      <c r="E177" s="2" t="str">
        <f>"2170752759"</f>
        <v>2170752759</v>
      </c>
      <c r="F177" s="2" t="s">
        <v>17</v>
      </c>
      <c r="G177" s="2" t="s">
        <v>18</v>
      </c>
      <c r="H177" s="2" t="s">
        <v>36</v>
      </c>
      <c r="I177" s="2" t="s">
        <v>67</v>
      </c>
      <c r="J177" s="2" t="s">
        <v>145</v>
      </c>
      <c r="K177" s="2" t="s">
        <v>174</v>
      </c>
      <c r="L177" s="3">
        <v>0.38541666666666669</v>
      </c>
      <c r="M177" s="2" t="s">
        <v>311</v>
      </c>
      <c r="N177" s="2" t="s">
        <v>500</v>
      </c>
      <c r="O177" s="2"/>
    </row>
    <row r="178" spans="1:15" x14ac:dyDescent="0.25">
      <c r="A178" s="2" t="s">
        <v>15</v>
      </c>
      <c r="B178" s="2" t="str">
        <f>"FES1162767706"</f>
        <v>FES1162767706</v>
      </c>
      <c r="C178" s="2" t="s">
        <v>22</v>
      </c>
      <c r="D178" s="2">
        <v>1</v>
      </c>
      <c r="E178" s="2" t="str">
        <f>"2170755655"</f>
        <v>2170755655</v>
      </c>
      <c r="F178" s="2" t="s">
        <v>17</v>
      </c>
      <c r="G178" s="2" t="s">
        <v>18</v>
      </c>
      <c r="H178" s="2" t="s">
        <v>36</v>
      </c>
      <c r="I178" s="2" t="s">
        <v>37</v>
      </c>
      <c r="J178" s="2" t="s">
        <v>162</v>
      </c>
      <c r="K178" s="2" t="s">
        <v>174</v>
      </c>
      <c r="L178" s="3">
        <v>0.34375</v>
      </c>
      <c r="M178" s="2" t="s">
        <v>268</v>
      </c>
      <c r="N178" s="2" t="s">
        <v>500</v>
      </c>
      <c r="O178" s="2"/>
    </row>
    <row r="179" spans="1:15" x14ac:dyDescent="0.25">
      <c r="A179" s="2" t="s">
        <v>15</v>
      </c>
      <c r="B179" s="2" t="str">
        <f>"FES1162767615"</f>
        <v>FES1162767615</v>
      </c>
      <c r="C179" s="2" t="s">
        <v>22</v>
      </c>
      <c r="D179" s="2">
        <v>1</v>
      </c>
      <c r="E179" s="2" t="str">
        <f>"2170754961"</f>
        <v>2170754961</v>
      </c>
      <c r="F179" s="2" t="s">
        <v>17</v>
      </c>
      <c r="G179" s="2" t="s">
        <v>18</v>
      </c>
      <c r="H179" s="2" t="s">
        <v>36</v>
      </c>
      <c r="I179" s="2" t="s">
        <v>67</v>
      </c>
      <c r="J179" s="2" t="s">
        <v>312</v>
      </c>
      <c r="K179" s="2" t="s">
        <v>174</v>
      </c>
      <c r="L179" s="3">
        <v>0.38541666666666669</v>
      </c>
      <c r="M179" s="2" t="s">
        <v>311</v>
      </c>
      <c r="N179" s="2" t="s">
        <v>500</v>
      </c>
      <c r="O179" s="2"/>
    </row>
    <row r="180" spans="1:15" x14ac:dyDescent="0.25">
      <c r="A180" s="2" t="s">
        <v>15</v>
      </c>
      <c r="B180" s="2" t="str">
        <f>"FES1162767651"</f>
        <v>FES1162767651</v>
      </c>
      <c r="C180" s="2" t="s">
        <v>22</v>
      </c>
      <c r="D180" s="2">
        <v>1</v>
      </c>
      <c r="E180" s="2" t="str">
        <f>"2170755489"</f>
        <v>2170755489</v>
      </c>
      <c r="F180" s="2" t="s">
        <v>17</v>
      </c>
      <c r="G180" s="2" t="s">
        <v>18</v>
      </c>
      <c r="H180" s="2" t="s">
        <v>36</v>
      </c>
      <c r="I180" s="2" t="s">
        <v>37</v>
      </c>
      <c r="J180" s="2" t="s">
        <v>313</v>
      </c>
      <c r="K180" s="2" t="s">
        <v>174</v>
      </c>
      <c r="L180" s="3">
        <v>0.45694444444444443</v>
      </c>
      <c r="M180" s="2" t="s">
        <v>314</v>
      </c>
      <c r="N180" s="2" t="s">
        <v>500</v>
      </c>
      <c r="O180" s="2"/>
    </row>
    <row r="181" spans="1:15" x14ac:dyDescent="0.25">
      <c r="A181" s="2" t="s">
        <v>15</v>
      </c>
      <c r="B181" s="2" t="str">
        <f>"FES1162767705"</f>
        <v>FES1162767705</v>
      </c>
      <c r="C181" s="2" t="s">
        <v>22</v>
      </c>
      <c r="D181" s="2">
        <v>1</v>
      </c>
      <c r="E181" s="2" t="str">
        <f>"2170755648"</f>
        <v>2170755648</v>
      </c>
      <c r="F181" s="2" t="s">
        <v>17</v>
      </c>
      <c r="G181" s="2" t="s">
        <v>18</v>
      </c>
      <c r="H181" s="2" t="s">
        <v>33</v>
      </c>
      <c r="I181" s="2" t="s">
        <v>34</v>
      </c>
      <c r="J181" s="2" t="s">
        <v>315</v>
      </c>
      <c r="K181" s="2" t="s">
        <v>174</v>
      </c>
      <c r="L181" s="3">
        <v>0.43333333333333335</v>
      </c>
      <c r="M181" s="2" t="s">
        <v>316</v>
      </c>
      <c r="N181" s="2" t="s">
        <v>500</v>
      </c>
      <c r="O181" s="2"/>
    </row>
    <row r="182" spans="1:15" x14ac:dyDescent="0.25">
      <c r="A182" s="2" t="s">
        <v>15</v>
      </c>
      <c r="B182" s="2" t="str">
        <f>"FES1162767613"</f>
        <v>FES1162767613</v>
      </c>
      <c r="C182" s="2" t="s">
        <v>22</v>
      </c>
      <c r="D182" s="2">
        <v>1</v>
      </c>
      <c r="E182" s="2" t="str">
        <f>"2170754935"</f>
        <v>2170754935</v>
      </c>
      <c r="F182" s="2" t="s">
        <v>17</v>
      </c>
      <c r="G182" s="2" t="s">
        <v>18</v>
      </c>
      <c r="H182" s="2" t="s">
        <v>33</v>
      </c>
      <c r="I182" s="2" t="s">
        <v>34</v>
      </c>
      <c r="J182" s="2" t="s">
        <v>317</v>
      </c>
      <c r="K182" s="2" t="s">
        <v>174</v>
      </c>
      <c r="L182" s="3">
        <v>0.43333333333333335</v>
      </c>
      <c r="M182" s="2" t="s">
        <v>318</v>
      </c>
      <c r="N182" s="2" t="s">
        <v>500</v>
      </c>
      <c r="O182" s="2"/>
    </row>
    <row r="183" spans="1:15" x14ac:dyDescent="0.25">
      <c r="A183" s="2" t="s">
        <v>15</v>
      </c>
      <c r="B183" s="2" t="str">
        <f>"FES1162767664"</f>
        <v>FES1162767664</v>
      </c>
      <c r="C183" s="2" t="s">
        <v>22</v>
      </c>
      <c r="D183" s="2">
        <v>1</v>
      </c>
      <c r="E183" s="2" t="str">
        <f>"2170755549"</f>
        <v>2170755549</v>
      </c>
      <c r="F183" s="2" t="s">
        <v>17</v>
      </c>
      <c r="G183" s="2" t="s">
        <v>18</v>
      </c>
      <c r="H183" s="2" t="s">
        <v>36</v>
      </c>
      <c r="I183" s="2" t="s">
        <v>134</v>
      </c>
      <c r="J183" s="2" t="s">
        <v>319</v>
      </c>
      <c r="K183" s="2" t="s">
        <v>174</v>
      </c>
      <c r="L183" s="3">
        <v>0.57638888888888895</v>
      </c>
      <c r="M183" s="2" t="s">
        <v>213</v>
      </c>
      <c r="N183" s="2" t="s">
        <v>500</v>
      </c>
      <c r="O183" s="2"/>
    </row>
    <row r="184" spans="1:15" x14ac:dyDescent="0.25">
      <c r="A184" s="2" t="s">
        <v>15</v>
      </c>
      <c r="B184" s="2" t="str">
        <f>"FES1162767640"</f>
        <v>FES1162767640</v>
      </c>
      <c r="C184" s="2" t="s">
        <v>22</v>
      </c>
      <c r="D184" s="2">
        <v>1</v>
      </c>
      <c r="E184" s="2" t="str">
        <f>"2170755338"</f>
        <v>2170755338</v>
      </c>
      <c r="F184" s="2" t="s">
        <v>17</v>
      </c>
      <c r="G184" s="2" t="s">
        <v>18</v>
      </c>
      <c r="H184" s="2" t="s">
        <v>36</v>
      </c>
      <c r="I184" s="2" t="s">
        <v>37</v>
      </c>
      <c r="J184" s="2" t="s">
        <v>279</v>
      </c>
      <c r="K184" s="2" t="s">
        <v>174</v>
      </c>
      <c r="L184" s="3">
        <v>0.40277777777777773</v>
      </c>
      <c r="M184" s="2" t="s">
        <v>320</v>
      </c>
      <c r="N184" s="2" t="s">
        <v>500</v>
      </c>
      <c r="O184" s="2"/>
    </row>
    <row r="185" spans="1:15" s="4" customFormat="1" x14ac:dyDescent="0.25">
      <c r="A185" s="5" t="s">
        <v>15</v>
      </c>
      <c r="B185" s="5" t="str">
        <f>"FES1162767591"</f>
        <v>FES1162767591</v>
      </c>
      <c r="C185" s="5" t="s">
        <v>22</v>
      </c>
      <c r="D185" s="5">
        <v>1</v>
      </c>
      <c r="E185" s="5" t="str">
        <f>"2170753578"</f>
        <v>2170753578</v>
      </c>
      <c r="F185" s="5" t="s">
        <v>205</v>
      </c>
      <c r="G185" s="5" t="s">
        <v>206</v>
      </c>
      <c r="H185" s="5" t="s">
        <v>321</v>
      </c>
      <c r="I185" s="5" t="s">
        <v>322</v>
      </c>
      <c r="J185" s="5" t="s">
        <v>323</v>
      </c>
      <c r="K185" s="5" t="s">
        <v>698</v>
      </c>
      <c r="L185" s="9">
        <v>0.47569444444444442</v>
      </c>
      <c r="M185" s="5" t="s">
        <v>917</v>
      </c>
      <c r="N185" s="5" t="s">
        <v>500</v>
      </c>
      <c r="O185" s="5" t="s">
        <v>799</v>
      </c>
    </row>
    <row r="186" spans="1:15" x14ac:dyDescent="0.25">
      <c r="A186" s="2" t="s">
        <v>15</v>
      </c>
      <c r="B186" s="2" t="str">
        <f>"FES1162767689"</f>
        <v>FES1162767689</v>
      </c>
      <c r="C186" s="2" t="s">
        <v>22</v>
      </c>
      <c r="D186" s="2">
        <v>1</v>
      </c>
      <c r="E186" s="2" t="str">
        <f>"2170755640"</f>
        <v>2170755640</v>
      </c>
      <c r="F186" s="2" t="s">
        <v>17</v>
      </c>
      <c r="G186" s="2" t="s">
        <v>18</v>
      </c>
      <c r="H186" s="2" t="s">
        <v>33</v>
      </c>
      <c r="I186" s="2" t="s">
        <v>34</v>
      </c>
      <c r="J186" s="2" t="s">
        <v>152</v>
      </c>
      <c r="K186" s="2" t="s">
        <v>174</v>
      </c>
      <c r="L186" s="3">
        <v>0.43333333333333335</v>
      </c>
      <c r="M186" s="2" t="s">
        <v>324</v>
      </c>
      <c r="N186" s="2" t="s">
        <v>500</v>
      </c>
      <c r="O186" s="2"/>
    </row>
    <row r="187" spans="1:15" x14ac:dyDescent="0.25">
      <c r="A187" s="2" t="s">
        <v>15</v>
      </c>
      <c r="B187" s="2" t="str">
        <f>"FES1162767606"</f>
        <v>FES1162767606</v>
      </c>
      <c r="C187" s="2" t="s">
        <v>22</v>
      </c>
      <c r="D187" s="2">
        <v>1</v>
      </c>
      <c r="E187" s="2" t="str">
        <f>"2170754569"</f>
        <v>2170754569</v>
      </c>
      <c r="F187" s="2" t="s">
        <v>17</v>
      </c>
      <c r="G187" s="2" t="s">
        <v>18</v>
      </c>
      <c r="H187" s="2" t="s">
        <v>33</v>
      </c>
      <c r="I187" s="2" t="s">
        <v>34</v>
      </c>
      <c r="J187" s="2" t="s">
        <v>317</v>
      </c>
      <c r="K187" s="2" t="s">
        <v>174</v>
      </c>
      <c r="L187" s="3">
        <v>0.43333333333333335</v>
      </c>
      <c r="M187" s="2" t="s">
        <v>325</v>
      </c>
      <c r="N187" s="2" t="s">
        <v>500</v>
      </c>
      <c r="O187" s="2"/>
    </row>
    <row r="188" spans="1:15" x14ac:dyDescent="0.25">
      <c r="A188" s="2" t="s">
        <v>15</v>
      </c>
      <c r="B188" s="2" t="str">
        <f>"FES1162767658"</f>
        <v>FES1162767658</v>
      </c>
      <c r="C188" s="2" t="s">
        <v>22</v>
      </c>
      <c r="D188" s="2">
        <v>1</v>
      </c>
      <c r="E188" s="2" t="str">
        <f>"2170755528"</f>
        <v>2170755528</v>
      </c>
      <c r="F188" s="2" t="s">
        <v>17</v>
      </c>
      <c r="G188" s="2" t="s">
        <v>18</v>
      </c>
      <c r="H188" s="2" t="s">
        <v>36</v>
      </c>
      <c r="I188" s="2" t="s">
        <v>134</v>
      </c>
      <c r="J188" s="2" t="s">
        <v>319</v>
      </c>
      <c r="K188" s="2" t="s">
        <v>174</v>
      </c>
      <c r="L188" s="3">
        <v>0.57638888888888895</v>
      </c>
      <c r="M188" s="2" t="s">
        <v>213</v>
      </c>
      <c r="N188" s="2" t="s">
        <v>500</v>
      </c>
      <c r="O188" s="2"/>
    </row>
    <row r="189" spans="1:15" x14ac:dyDescent="0.25">
      <c r="A189" s="2" t="s">
        <v>15</v>
      </c>
      <c r="B189" s="2" t="str">
        <f>"FES1162767650"</f>
        <v>FES1162767650</v>
      </c>
      <c r="C189" s="2" t="s">
        <v>22</v>
      </c>
      <c r="D189" s="2">
        <v>1</v>
      </c>
      <c r="E189" s="2" t="str">
        <f>"2170755480"</f>
        <v>2170755480</v>
      </c>
      <c r="F189" s="2" t="s">
        <v>17</v>
      </c>
      <c r="G189" s="2" t="s">
        <v>18</v>
      </c>
      <c r="H189" s="2" t="s">
        <v>25</v>
      </c>
      <c r="I189" s="2" t="s">
        <v>39</v>
      </c>
      <c r="J189" s="2" t="s">
        <v>40</v>
      </c>
      <c r="K189" s="2" t="s">
        <v>174</v>
      </c>
      <c r="L189" s="3">
        <v>0.4201388888888889</v>
      </c>
      <c r="M189" s="2" t="s">
        <v>326</v>
      </c>
      <c r="N189" s="2" t="s">
        <v>500</v>
      </c>
      <c r="O189" s="2"/>
    </row>
    <row r="190" spans="1:15" x14ac:dyDescent="0.25">
      <c r="A190" s="2" t="s">
        <v>15</v>
      </c>
      <c r="B190" s="2" t="str">
        <f>"FES1162767697"</f>
        <v>FES1162767697</v>
      </c>
      <c r="C190" s="2" t="s">
        <v>22</v>
      </c>
      <c r="D190" s="2">
        <v>1</v>
      </c>
      <c r="E190" s="2" t="str">
        <f>"2170755644"</f>
        <v>2170755644</v>
      </c>
      <c r="F190" s="2" t="s">
        <v>17</v>
      </c>
      <c r="G190" s="2" t="s">
        <v>18</v>
      </c>
      <c r="H190" s="2" t="s">
        <v>19</v>
      </c>
      <c r="I190" s="2" t="s">
        <v>20</v>
      </c>
      <c r="J190" s="2" t="s">
        <v>327</v>
      </c>
      <c r="K190" s="2" t="s">
        <v>174</v>
      </c>
      <c r="L190" s="3">
        <v>0.32291666666666669</v>
      </c>
      <c r="M190" s="2" t="s">
        <v>328</v>
      </c>
      <c r="N190" s="2" t="s">
        <v>500</v>
      </c>
      <c r="O190" s="2"/>
    </row>
    <row r="191" spans="1:15" x14ac:dyDescent="0.25">
      <c r="A191" s="2" t="s">
        <v>15</v>
      </c>
      <c r="B191" s="2" t="str">
        <f>"FES1162767607"</f>
        <v>FES1162767607</v>
      </c>
      <c r="C191" s="2" t="s">
        <v>22</v>
      </c>
      <c r="D191" s="2">
        <v>1</v>
      </c>
      <c r="E191" s="2" t="str">
        <f>"2170754571"</f>
        <v>2170754571</v>
      </c>
      <c r="F191" s="2" t="s">
        <v>17</v>
      </c>
      <c r="G191" s="2" t="s">
        <v>18</v>
      </c>
      <c r="H191" s="2" t="s">
        <v>33</v>
      </c>
      <c r="I191" s="2" t="s">
        <v>34</v>
      </c>
      <c r="J191" s="2" t="s">
        <v>317</v>
      </c>
      <c r="K191" s="2" t="s">
        <v>174</v>
      </c>
      <c r="L191" s="3">
        <v>0.43333333333333335</v>
      </c>
      <c r="M191" s="2" t="s">
        <v>325</v>
      </c>
      <c r="N191" s="2" t="s">
        <v>500</v>
      </c>
      <c r="O191" s="2"/>
    </row>
    <row r="192" spans="1:15" x14ac:dyDescent="0.25">
      <c r="A192" s="2" t="s">
        <v>15</v>
      </c>
      <c r="B192" s="2" t="str">
        <f>"FES1162767592"</f>
        <v>FES1162767592</v>
      </c>
      <c r="C192" s="2" t="s">
        <v>22</v>
      </c>
      <c r="D192" s="2">
        <v>1</v>
      </c>
      <c r="E192" s="2" t="str">
        <f>"2170753611"</f>
        <v>2170753611</v>
      </c>
      <c r="F192" s="2" t="s">
        <v>17</v>
      </c>
      <c r="G192" s="2" t="s">
        <v>18</v>
      </c>
      <c r="H192" s="2" t="s">
        <v>18</v>
      </c>
      <c r="I192" s="2" t="s">
        <v>329</v>
      </c>
      <c r="J192" s="2" t="s">
        <v>330</v>
      </c>
      <c r="K192" s="2" t="s">
        <v>411</v>
      </c>
      <c r="L192" s="3">
        <v>0.33333333333333331</v>
      </c>
      <c r="M192" s="2" t="s">
        <v>503</v>
      </c>
      <c r="N192" s="2" t="s">
        <v>500</v>
      </c>
      <c r="O192" s="2"/>
    </row>
    <row r="193" spans="1:15" x14ac:dyDescent="0.25">
      <c r="A193" s="2" t="s">
        <v>15</v>
      </c>
      <c r="B193" s="2" t="str">
        <f>"FES1162767638"</f>
        <v>FES1162767638</v>
      </c>
      <c r="C193" s="2" t="s">
        <v>22</v>
      </c>
      <c r="D193" s="2">
        <v>1</v>
      </c>
      <c r="E193" s="2" t="str">
        <f>"2170755322"</f>
        <v>2170755322</v>
      </c>
      <c r="F193" s="2" t="s">
        <v>17</v>
      </c>
      <c r="G193" s="2" t="s">
        <v>18</v>
      </c>
      <c r="H193" s="2" t="s">
        <v>18</v>
      </c>
      <c r="I193" s="2" t="s">
        <v>116</v>
      </c>
      <c r="J193" s="2" t="s">
        <v>331</v>
      </c>
      <c r="K193" s="2" t="s">
        <v>174</v>
      </c>
      <c r="L193" s="3">
        <v>0.36805555555555558</v>
      </c>
      <c r="M193" s="2" t="s">
        <v>332</v>
      </c>
      <c r="N193" s="2" t="s">
        <v>500</v>
      </c>
      <c r="O193" s="2"/>
    </row>
    <row r="194" spans="1:15" x14ac:dyDescent="0.25">
      <c r="A194" s="2" t="s">
        <v>15</v>
      </c>
      <c r="B194" s="2" t="str">
        <f>"FES1162767612"</f>
        <v>FES1162767612</v>
      </c>
      <c r="C194" s="2" t="s">
        <v>22</v>
      </c>
      <c r="D194" s="2">
        <v>1</v>
      </c>
      <c r="E194" s="2" t="str">
        <f>"2170754921"</f>
        <v>2170754921</v>
      </c>
      <c r="F194" s="2" t="s">
        <v>17</v>
      </c>
      <c r="G194" s="2" t="s">
        <v>18</v>
      </c>
      <c r="H194" s="2" t="s">
        <v>18</v>
      </c>
      <c r="I194" s="2" t="s">
        <v>52</v>
      </c>
      <c r="J194" s="2" t="s">
        <v>53</v>
      </c>
      <c r="K194" s="2" t="s">
        <v>174</v>
      </c>
      <c r="L194" s="3">
        <v>0.47222222222222227</v>
      </c>
      <c r="M194" s="2" t="s">
        <v>333</v>
      </c>
      <c r="N194" s="2" t="s">
        <v>500</v>
      </c>
      <c r="O194" s="2"/>
    </row>
    <row r="195" spans="1:15" x14ac:dyDescent="0.25">
      <c r="A195" s="2" t="s">
        <v>15</v>
      </c>
      <c r="B195" s="2" t="str">
        <f>"FES1162767574"</f>
        <v>FES1162767574</v>
      </c>
      <c r="C195" s="2" t="s">
        <v>22</v>
      </c>
      <c r="D195" s="2">
        <v>1</v>
      </c>
      <c r="E195" s="2" t="str">
        <f>"2170750977"</f>
        <v>2170750977</v>
      </c>
      <c r="F195" s="2" t="s">
        <v>17</v>
      </c>
      <c r="G195" s="2" t="s">
        <v>18</v>
      </c>
      <c r="H195" s="2" t="s">
        <v>18</v>
      </c>
      <c r="I195" s="2" t="s">
        <v>57</v>
      </c>
      <c r="J195" s="2" t="s">
        <v>92</v>
      </c>
      <c r="K195" s="2" t="s">
        <v>174</v>
      </c>
      <c r="L195" s="3">
        <v>0.41666666666666669</v>
      </c>
      <c r="M195" s="2" t="s">
        <v>334</v>
      </c>
      <c r="N195" s="2" t="s">
        <v>500</v>
      </c>
      <c r="O195" s="2"/>
    </row>
    <row r="196" spans="1:15" x14ac:dyDescent="0.25">
      <c r="A196" s="2" t="s">
        <v>15</v>
      </c>
      <c r="B196" s="2" t="str">
        <f>"FES1162767594"</f>
        <v>FES1162767594</v>
      </c>
      <c r="C196" s="2" t="s">
        <v>22</v>
      </c>
      <c r="D196" s="2">
        <v>1</v>
      </c>
      <c r="E196" s="2" t="str">
        <f>"2170753918"</f>
        <v>2170753918</v>
      </c>
      <c r="F196" s="2" t="s">
        <v>17</v>
      </c>
      <c r="G196" s="2" t="s">
        <v>18</v>
      </c>
      <c r="H196" s="2" t="s">
        <v>88</v>
      </c>
      <c r="I196" s="2" t="s">
        <v>109</v>
      </c>
      <c r="J196" s="2" t="s">
        <v>66</v>
      </c>
      <c r="K196" s="2" t="s">
        <v>174</v>
      </c>
      <c r="L196" s="3">
        <v>0.41666666666666669</v>
      </c>
      <c r="M196" s="2" t="s">
        <v>335</v>
      </c>
      <c r="N196" s="2" t="s">
        <v>500</v>
      </c>
      <c r="O196" s="2"/>
    </row>
    <row r="197" spans="1:15" x14ac:dyDescent="0.25">
      <c r="A197" s="2" t="s">
        <v>15</v>
      </c>
      <c r="B197" s="2" t="str">
        <f>"FES1162767630"</f>
        <v>FES1162767630</v>
      </c>
      <c r="C197" s="2" t="s">
        <v>22</v>
      </c>
      <c r="D197" s="2">
        <v>1</v>
      </c>
      <c r="E197" s="2" t="str">
        <f>"2170755210"</f>
        <v>2170755210</v>
      </c>
      <c r="F197" s="2" t="s">
        <v>17</v>
      </c>
      <c r="G197" s="2" t="s">
        <v>18</v>
      </c>
      <c r="H197" s="2" t="s">
        <v>18</v>
      </c>
      <c r="I197" s="2" t="s">
        <v>105</v>
      </c>
      <c r="J197" s="2" t="s">
        <v>309</v>
      </c>
      <c r="K197" s="2" t="s">
        <v>174</v>
      </c>
      <c r="L197" s="3">
        <v>0.375</v>
      </c>
      <c r="M197" s="2" t="s">
        <v>310</v>
      </c>
      <c r="N197" s="2" t="s">
        <v>500</v>
      </c>
      <c r="O197" s="2"/>
    </row>
    <row r="198" spans="1:15" x14ac:dyDescent="0.25">
      <c r="A198" s="2" t="s">
        <v>15</v>
      </c>
      <c r="B198" s="2" t="str">
        <f>"FES1162767588"</f>
        <v>FES1162767588</v>
      </c>
      <c r="C198" s="2" t="s">
        <v>22</v>
      </c>
      <c r="D198" s="2">
        <v>1</v>
      </c>
      <c r="E198" s="2" t="str">
        <f>"2170753319"</f>
        <v>2170753319</v>
      </c>
      <c r="F198" s="2" t="s">
        <v>17</v>
      </c>
      <c r="G198" s="2" t="s">
        <v>18</v>
      </c>
      <c r="H198" s="2" t="s">
        <v>88</v>
      </c>
      <c r="I198" s="2" t="s">
        <v>109</v>
      </c>
      <c r="J198" s="2" t="s">
        <v>275</v>
      </c>
      <c r="K198" s="2" t="s">
        <v>174</v>
      </c>
      <c r="L198" s="3">
        <v>0.5</v>
      </c>
      <c r="M198" s="2" t="s">
        <v>336</v>
      </c>
      <c r="N198" s="2" t="s">
        <v>500</v>
      </c>
      <c r="O198" s="2"/>
    </row>
    <row r="199" spans="1:15" x14ac:dyDescent="0.25">
      <c r="A199" s="2" t="s">
        <v>15</v>
      </c>
      <c r="B199" s="2" t="str">
        <f>"FES1162767587"</f>
        <v>FES1162767587</v>
      </c>
      <c r="C199" s="2" t="s">
        <v>22</v>
      </c>
      <c r="D199" s="2">
        <v>1</v>
      </c>
      <c r="E199" s="2" t="str">
        <f>"2170753317"</f>
        <v>2170753317</v>
      </c>
      <c r="F199" s="2" t="s">
        <v>17</v>
      </c>
      <c r="G199" s="2" t="s">
        <v>18</v>
      </c>
      <c r="H199" s="2" t="s">
        <v>88</v>
      </c>
      <c r="I199" s="2" t="s">
        <v>109</v>
      </c>
      <c r="J199" s="2" t="s">
        <v>275</v>
      </c>
      <c r="K199" s="2" t="s">
        <v>174</v>
      </c>
      <c r="L199" s="3">
        <v>0.5</v>
      </c>
      <c r="M199" s="2" t="s">
        <v>276</v>
      </c>
      <c r="N199" s="2" t="s">
        <v>500</v>
      </c>
      <c r="O199" s="2"/>
    </row>
    <row r="200" spans="1:15" x14ac:dyDescent="0.25">
      <c r="A200" s="2" t="s">
        <v>15</v>
      </c>
      <c r="B200" s="2" t="str">
        <f>"FES1162767670"</f>
        <v>FES1162767670</v>
      </c>
      <c r="C200" s="2" t="s">
        <v>22</v>
      </c>
      <c r="D200" s="2">
        <v>1</v>
      </c>
      <c r="E200" s="2" t="str">
        <f>"2170755601"</f>
        <v>2170755601</v>
      </c>
      <c r="F200" s="2" t="s">
        <v>17</v>
      </c>
      <c r="G200" s="2" t="s">
        <v>18</v>
      </c>
      <c r="H200" s="2" t="s">
        <v>88</v>
      </c>
      <c r="I200" s="2" t="s">
        <v>109</v>
      </c>
      <c r="J200" s="2" t="s">
        <v>337</v>
      </c>
      <c r="K200" s="2" t="s">
        <v>174</v>
      </c>
      <c r="L200" s="3">
        <v>0.43055555555555558</v>
      </c>
      <c r="M200" s="2" t="s">
        <v>338</v>
      </c>
      <c r="N200" s="2" t="s">
        <v>500</v>
      </c>
      <c r="O200" s="2"/>
    </row>
    <row r="201" spans="1:15" x14ac:dyDescent="0.25">
      <c r="A201" s="2" t="s">
        <v>15</v>
      </c>
      <c r="B201" s="2" t="str">
        <f>"FES1162767586"</f>
        <v>FES1162767586</v>
      </c>
      <c r="C201" s="2" t="s">
        <v>22</v>
      </c>
      <c r="D201" s="2">
        <v>1</v>
      </c>
      <c r="E201" s="2" t="str">
        <f>"2170753313"</f>
        <v>2170753313</v>
      </c>
      <c r="F201" s="2" t="s">
        <v>17</v>
      </c>
      <c r="G201" s="2" t="s">
        <v>18</v>
      </c>
      <c r="H201" s="2" t="s">
        <v>88</v>
      </c>
      <c r="I201" s="2" t="s">
        <v>109</v>
      </c>
      <c r="J201" s="2" t="s">
        <v>275</v>
      </c>
      <c r="K201" s="2" t="s">
        <v>174</v>
      </c>
      <c r="L201" s="3">
        <v>0.5</v>
      </c>
      <c r="M201" s="2" t="s">
        <v>276</v>
      </c>
      <c r="N201" s="2" t="s">
        <v>500</v>
      </c>
      <c r="O201" s="2"/>
    </row>
    <row r="202" spans="1:15" x14ac:dyDescent="0.25">
      <c r="A202" s="2" t="s">
        <v>15</v>
      </c>
      <c r="B202" s="2" t="str">
        <f>"FES1162767660"</f>
        <v>FES1162767660</v>
      </c>
      <c r="C202" s="2" t="s">
        <v>22</v>
      </c>
      <c r="D202" s="2">
        <v>1</v>
      </c>
      <c r="E202" s="2" t="str">
        <f>"2170755534"</f>
        <v>2170755534</v>
      </c>
      <c r="F202" s="2" t="s">
        <v>17</v>
      </c>
      <c r="G202" s="2" t="s">
        <v>18</v>
      </c>
      <c r="H202" s="2" t="s">
        <v>88</v>
      </c>
      <c r="I202" s="2" t="s">
        <v>109</v>
      </c>
      <c r="J202" s="2" t="s">
        <v>339</v>
      </c>
      <c r="K202" s="2" t="s">
        <v>174</v>
      </c>
      <c r="L202" s="3">
        <v>0.4375</v>
      </c>
      <c r="M202" s="2" t="s">
        <v>340</v>
      </c>
      <c r="N202" s="2" t="s">
        <v>500</v>
      </c>
      <c r="O202" s="2"/>
    </row>
    <row r="203" spans="1:15" x14ac:dyDescent="0.25">
      <c r="A203" s="2" t="s">
        <v>15</v>
      </c>
      <c r="B203" s="2" t="str">
        <f>"FES1162767631"</f>
        <v>FES1162767631</v>
      </c>
      <c r="C203" s="2" t="s">
        <v>22</v>
      </c>
      <c r="D203" s="2">
        <v>1</v>
      </c>
      <c r="E203" s="2" t="str">
        <f>"2170755217"</f>
        <v>2170755217</v>
      </c>
      <c r="F203" s="2" t="s">
        <v>17</v>
      </c>
      <c r="G203" s="2" t="s">
        <v>18</v>
      </c>
      <c r="H203" s="2" t="s">
        <v>18</v>
      </c>
      <c r="I203" s="2" t="s">
        <v>105</v>
      </c>
      <c r="J203" s="2" t="s">
        <v>341</v>
      </c>
      <c r="K203" s="2" t="s">
        <v>174</v>
      </c>
      <c r="L203" s="3">
        <v>0.375</v>
      </c>
      <c r="M203" s="2" t="s">
        <v>342</v>
      </c>
      <c r="N203" s="2" t="s">
        <v>500</v>
      </c>
      <c r="O203" s="2"/>
    </row>
    <row r="204" spans="1:15" x14ac:dyDescent="0.25">
      <c r="A204" s="2" t="s">
        <v>15</v>
      </c>
      <c r="B204" s="2" t="str">
        <f>"FES1162767625"</f>
        <v>FES1162767625</v>
      </c>
      <c r="C204" s="2" t="s">
        <v>22</v>
      </c>
      <c r="D204" s="2">
        <v>1</v>
      </c>
      <c r="E204" s="2" t="str">
        <f>"2170755096"</f>
        <v>2170755096</v>
      </c>
      <c r="F204" s="2" t="s">
        <v>17</v>
      </c>
      <c r="G204" s="2" t="s">
        <v>18</v>
      </c>
      <c r="H204" s="2" t="s">
        <v>18</v>
      </c>
      <c r="I204" s="2" t="s">
        <v>105</v>
      </c>
      <c r="J204" s="2" t="s">
        <v>341</v>
      </c>
      <c r="K204" s="2" t="s">
        <v>174</v>
      </c>
      <c r="L204" s="3">
        <v>0.375</v>
      </c>
      <c r="M204" s="2" t="s">
        <v>342</v>
      </c>
      <c r="N204" s="2" t="s">
        <v>500</v>
      </c>
      <c r="O204" s="2"/>
    </row>
    <row r="205" spans="1:15" x14ac:dyDescent="0.25">
      <c r="A205" s="2" t="s">
        <v>15</v>
      </c>
      <c r="B205" s="2" t="str">
        <f>"FES1162767571"</f>
        <v>FES1162767571</v>
      </c>
      <c r="C205" s="2" t="s">
        <v>22</v>
      </c>
      <c r="D205" s="2">
        <v>1</v>
      </c>
      <c r="E205" s="2" t="str">
        <f>"2170749567"</f>
        <v>2170749567</v>
      </c>
      <c r="F205" s="2" t="s">
        <v>17</v>
      </c>
      <c r="G205" s="2" t="s">
        <v>18</v>
      </c>
      <c r="H205" s="2" t="s">
        <v>19</v>
      </c>
      <c r="I205" s="2" t="s">
        <v>20</v>
      </c>
      <c r="J205" s="2" t="s">
        <v>343</v>
      </c>
      <c r="K205" s="2" t="s">
        <v>174</v>
      </c>
      <c r="L205" s="3">
        <v>0.41666666666666669</v>
      </c>
      <c r="M205" s="2" t="s">
        <v>344</v>
      </c>
      <c r="N205" s="2" t="s">
        <v>500</v>
      </c>
      <c r="O205" s="2"/>
    </row>
    <row r="206" spans="1:15" x14ac:dyDescent="0.25">
      <c r="A206" s="2" t="s">
        <v>15</v>
      </c>
      <c r="B206" s="2" t="str">
        <f>"FES1162767623"</f>
        <v>FES1162767623</v>
      </c>
      <c r="C206" s="2" t="s">
        <v>22</v>
      </c>
      <c r="D206" s="2">
        <v>1</v>
      </c>
      <c r="E206" s="2" t="str">
        <f>"2170755075"</f>
        <v>2170755075</v>
      </c>
      <c r="F206" s="2" t="s">
        <v>17</v>
      </c>
      <c r="G206" s="2" t="s">
        <v>18</v>
      </c>
      <c r="H206" s="2" t="s">
        <v>25</v>
      </c>
      <c r="I206" s="2" t="s">
        <v>345</v>
      </c>
      <c r="J206" s="2" t="s">
        <v>346</v>
      </c>
      <c r="K206" s="2" t="s">
        <v>411</v>
      </c>
      <c r="L206" s="3">
        <v>0.60069444444444442</v>
      </c>
      <c r="M206" s="2" t="s">
        <v>346</v>
      </c>
      <c r="N206" s="2" t="s">
        <v>500</v>
      </c>
      <c r="O206" s="2"/>
    </row>
    <row r="207" spans="1:15" x14ac:dyDescent="0.25">
      <c r="A207" s="2" t="s">
        <v>15</v>
      </c>
      <c r="B207" s="2" t="str">
        <f>"FES1162767686"</f>
        <v>FES1162767686</v>
      </c>
      <c r="C207" s="2" t="s">
        <v>22</v>
      </c>
      <c r="D207" s="2">
        <v>1</v>
      </c>
      <c r="E207" s="2" t="str">
        <f>"2170752999"</f>
        <v>2170752999</v>
      </c>
      <c r="F207" s="2" t="s">
        <v>17</v>
      </c>
      <c r="G207" s="2" t="s">
        <v>18</v>
      </c>
      <c r="H207" s="2" t="s">
        <v>19</v>
      </c>
      <c r="I207" s="2" t="s">
        <v>20</v>
      </c>
      <c r="J207" s="2" t="s">
        <v>343</v>
      </c>
      <c r="K207" s="2" t="s">
        <v>174</v>
      </c>
      <c r="L207" s="3">
        <v>0.41666666666666669</v>
      </c>
      <c r="M207" s="2" t="s">
        <v>344</v>
      </c>
      <c r="N207" s="2" t="s">
        <v>500</v>
      </c>
      <c r="O207" s="2"/>
    </row>
    <row r="208" spans="1:15" x14ac:dyDescent="0.25">
      <c r="A208" s="2" t="s">
        <v>15</v>
      </c>
      <c r="B208" s="2" t="str">
        <f>"FES1162767657"</f>
        <v>FES1162767657</v>
      </c>
      <c r="C208" s="2" t="s">
        <v>22</v>
      </c>
      <c r="D208" s="2">
        <v>1</v>
      </c>
      <c r="E208" s="2" t="str">
        <f>"2170755527"</f>
        <v>2170755527</v>
      </c>
      <c r="F208" s="2" t="s">
        <v>17</v>
      </c>
      <c r="G208" s="2" t="s">
        <v>18</v>
      </c>
      <c r="H208" s="2" t="s">
        <v>18</v>
      </c>
      <c r="I208" s="2" t="s">
        <v>157</v>
      </c>
      <c r="J208" s="2" t="s">
        <v>347</v>
      </c>
      <c r="K208" s="2" t="s">
        <v>174</v>
      </c>
      <c r="L208" s="3">
        <v>0.4465277777777778</v>
      </c>
      <c r="M208" s="2" t="s">
        <v>348</v>
      </c>
      <c r="N208" s="2" t="s">
        <v>500</v>
      </c>
      <c r="O208" s="2"/>
    </row>
    <row r="209" spans="1:15" x14ac:dyDescent="0.25">
      <c r="A209" s="2" t="s">
        <v>15</v>
      </c>
      <c r="B209" s="2" t="str">
        <f>"FES1162767649"</f>
        <v>FES1162767649</v>
      </c>
      <c r="C209" s="2" t="s">
        <v>22</v>
      </c>
      <c r="D209" s="2">
        <v>1</v>
      </c>
      <c r="E209" s="2" t="str">
        <f>"2170755474"</f>
        <v>2170755474</v>
      </c>
      <c r="F209" s="2" t="s">
        <v>17</v>
      </c>
      <c r="G209" s="2" t="s">
        <v>18</v>
      </c>
      <c r="H209" s="2" t="s">
        <v>18</v>
      </c>
      <c r="I209" s="2" t="s">
        <v>329</v>
      </c>
      <c r="J209" s="2" t="s">
        <v>349</v>
      </c>
      <c r="K209" s="2" t="s">
        <v>174</v>
      </c>
      <c r="L209" s="3">
        <v>0.375</v>
      </c>
      <c r="M209" s="2" t="s">
        <v>350</v>
      </c>
      <c r="N209" s="2" t="s">
        <v>500</v>
      </c>
      <c r="O209" s="2"/>
    </row>
    <row r="210" spans="1:15" x14ac:dyDescent="0.25">
      <c r="A210" s="2" t="s">
        <v>15</v>
      </c>
      <c r="B210" s="2" t="str">
        <f>"FES1162767641"</f>
        <v>FES1162767641</v>
      </c>
      <c r="C210" s="2" t="s">
        <v>22</v>
      </c>
      <c r="D210" s="2">
        <v>1</v>
      </c>
      <c r="E210" s="2" t="str">
        <f>"2170755341"</f>
        <v>2170755341</v>
      </c>
      <c r="F210" s="2" t="s">
        <v>17</v>
      </c>
      <c r="G210" s="2" t="s">
        <v>18</v>
      </c>
      <c r="H210" s="2" t="s">
        <v>206</v>
      </c>
      <c r="I210" s="2" t="s">
        <v>163</v>
      </c>
      <c r="J210" s="2" t="s">
        <v>351</v>
      </c>
      <c r="K210" s="2" t="s">
        <v>174</v>
      </c>
      <c r="L210" s="3">
        <v>0.375</v>
      </c>
      <c r="M210" s="2" t="s">
        <v>352</v>
      </c>
      <c r="N210" s="2" t="s">
        <v>500</v>
      </c>
      <c r="O210" s="2"/>
    </row>
    <row r="211" spans="1:15" x14ac:dyDescent="0.25">
      <c r="A211" s="2" t="s">
        <v>15</v>
      </c>
      <c r="B211" s="2" t="str">
        <f>"FES1162767703"</f>
        <v>FES1162767703</v>
      </c>
      <c r="C211" s="2" t="s">
        <v>22</v>
      </c>
      <c r="D211" s="2">
        <v>1</v>
      </c>
      <c r="E211" s="2" t="str">
        <f>"2170755314"</f>
        <v>2170755314</v>
      </c>
      <c r="F211" s="2" t="s">
        <v>17</v>
      </c>
      <c r="G211" s="2" t="s">
        <v>18</v>
      </c>
      <c r="H211" s="2" t="s">
        <v>19</v>
      </c>
      <c r="I211" s="2" t="s">
        <v>20</v>
      </c>
      <c r="J211" s="2" t="s">
        <v>343</v>
      </c>
      <c r="K211" s="2" t="s">
        <v>174</v>
      </c>
      <c r="L211" s="3">
        <v>0.41666666666666669</v>
      </c>
      <c r="M211" s="2" t="s">
        <v>344</v>
      </c>
      <c r="N211" s="2" t="s">
        <v>500</v>
      </c>
      <c r="O211" s="2"/>
    </row>
    <row r="212" spans="1:15" x14ac:dyDescent="0.25">
      <c r="A212" s="2" t="s">
        <v>15</v>
      </c>
      <c r="B212" s="2" t="str">
        <f>"FES1162767698"</f>
        <v>FES1162767698</v>
      </c>
      <c r="C212" s="2" t="s">
        <v>22</v>
      </c>
      <c r="D212" s="2">
        <v>1</v>
      </c>
      <c r="E212" s="2" t="str">
        <f>"2170755645"</f>
        <v>2170755645</v>
      </c>
      <c r="F212" s="2" t="s">
        <v>17</v>
      </c>
      <c r="G212" s="2" t="s">
        <v>18</v>
      </c>
      <c r="H212" s="2" t="s">
        <v>19</v>
      </c>
      <c r="I212" s="2" t="s">
        <v>20</v>
      </c>
      <c r="J212" s="2" t="s">
        <v>327</v>
      </c>
      <c r="K212" s="2" t="s">
        <v>174</v>
      </c>
      <c r="L212" s="3">
        <v>0.32291666666666669</v>
      </c>
      <c r="M212" s="2" t="s">
        <v>328</v>
      </c>
      <c r="N212" s="2" t="s">
        <v>500</v>
      </c>
      <c r="O212" s="2"/>
    </row>
    <row r="213" spans="1:15" x14ac:dyDescent="0.25">
      <c r="A213" s="2" t="s">
        <v>15</v>
      </c>
      <c r="B213" s="2" t="str">
        <f>"FES1162767629"</f>
        <v>FES1162767629</v>
      </c>
      <c r="C213" s="2" t="s">
        <v>22</v>
      </c>
      <c r="D213" s="2">
        <v>1</v>
      </c>
      <c r="E213" s="2" t="str">
        <f>"2170755208"</f>
        <v>2170755208</v>
      </c>
      <c r="F213" s="2" t="s">
        <v>17</v>
      </c>
      <c r="G213" s="2" t="s">
        <v>18</v>
      </c>
      <c r="H213" s="2" t="s">
        <v>25</v>
      </c>
      <c r="I213" s="2" t="s">
        <v>26</v>
      </c>
      <c r="J213" s="2" t="s">
        <v>353</v>
      </c>
      <c r="K213" s="2" t="s">
        <v>174</v>
      </c>
      <c r="L213" s="3">
        <v>0.41666666666666669</v>
      </c>
      <c r="M213" s="2" t="s">
        <v>354</v>
      </c>
      <c r="N213" s="2" t="s">
        <v>500</v>
      </c>
      <c r="O213" s="2"/>
    </row>
    <row r="214" spans="1:15" x14ac:dyDescent="0.25">
      <c r="A214" s="2" t="s">
        <v>15</v>
      </c>
      <c r="B214" s="2" t="str">
        <f>"FES1162767642"</f>
        <v>FES1162767642</v>
      </c>
      <c r="C214" s="2" t="s">
        <v>22</v>
      </c>
      <c r="D214" s="2">
        <v>1</v>
      </c>
      <c r="E214" s="2" t="str">
        <f>"2170755366"</f>
        <v>2170755366</v>
      </c>
      <c r="F214" s="2" t="s">
        <v>17</v>
      </c>
      <c r="G214" s="2" t="s">
        <v>18</v>
      </c>
      <c r="H214" s="2" t="s">
        <v>18</v>
      </c>
      <c r="I214" s="2" t="s">
        <v>46</v>
      </c>
      <c r="J214" s="2" t="s">
        <v>355</v>
      </c>
      <c r="K214" s="2" t="s">
        <v>174</v>
      </c>
      <c r="L214" s="3">
        <v>0.36388888888888887</v>
      </c>
      <c r="M214" s="2" t="s">
        <v>356</v>
      </c>
      <c r="N214" s="2" t="s">
        <v>500</v>
      </c>
      <c r="O214" s="2"/>
    </row>
    <row r="215" spans="1:15" x14ac:dyDescent="0.25">
      <c r="A215" s="2" t="s">
        <v>15</v>
      </c>
      <c r="B215" s="2" t="str">
        <f>"FES1162767608"</f>
        <v>FES1162767608</v>
      </c>
      <c r="C215" s="2" t="s">
        <v>22</v>
      </c>
      <c r="D215" s="2">
        <v>1</v>
      </c>
      <c r="E215" s="2" t="str">
        <f>"2170754678"</f>
        <v>2170754678</v>
      </c>
      <c r="F215" s="2" t="s">
        <v>17</v>
      </c>
      <c r="G215" s="2" t="s">
        <v>18</v>
      </c>
      <c r="H215" s="2" t="s">
        <v>78</v>
      </c>
      <c r="I215" s="2" t="s">
        <v>79</v>
      </c>
      <c r="J215" s="2" t="s">
        <v>113</v>
      </c>
      <c r="K215" s="2" t="s">
        <v>174</v>
      </c>
      <c r="L215" s="3">
        <v>0.45833333333333331</v>
      </c>
      <c r="M215" s="2" t="s">
        <v>504</v>
      </c>
      <c r="N215" s="2" t="s">
        <v>500</v>
      </c>
      <c r="O215" s="2"/>
    </row>
    <row r="216" spans="1:15" x14ac:dyDescent="0.25">
      <c r="A216" s="2" t="s">
        <v>15</v>
      </c>
      <c r="B216" s="2" t="str">
        <f>"FES1162767579"</f>
        <v>FES1162767579</v>
      </c>
      <c r="C216" s="2" t="s">
        <v>22</v>
      </c>
      <c r="D216" s="2">
        <v>1</v>
      </c>
      <c r="E216" s="2" t="str">
        <f>"2170752622"</f>
        <v>2170752622</v>
      </c>
      <c r="F216" s="2" t="s">
        <v>17</v>
      </c>
      <c r="G216" s="2" t="s">
        <v>18</v>
      </c>
      <c r="H216" s="2" t="s">
        <v>78</v>
      </c>
      <c r="I216" s="2" t="s">
        <v>79</v>
      </c>
      <c r="J216" s="2" t="s">
        <v>113</v>
      </c>
      <c r="K216" s="2" t="s">
        <v>174</v>
      </c>
      <c r="L216" s="3">
        <v>0.45833333333333331</v>
      </c>
      <c r="M216" s="2" t="s">
        <v>504</v>
      </c>
      <c r="N216" s="2" t="s">
        <v>500</v>
      </c>
      <c r="O216" s="2"/>
    </row>
    <row r="217" spans="1:15" x14ac:dyDescent="0.25">
      <c r="A217" s="2" t="s">
        <v>15</v>
      </c>
      <c r="B217" s="2" t="str">
        <f>"FES1162767595"</f>
        <v>FES1162767595</v>
      </c>
      <c r="C217" s="2" t="s">
        <v>22</v>
      </c>
      <c r="D217" s="2">
        <v>1</v>
      </c>
      <c r="E217" s="2" t="str">
        <f>"2170754069"</f>
        <v>2170754069</v>
      </c>
      <c r="F217" s="2" t="s">
        <v>17</v>
      </c>
      <c r="G217" s="2" t="s">
        <v>18</v>
      </c>
      <c r="H217" s="2" t="s">
        <v>19</v>
      </c>
      <c r="I217" s="2" t="s">
        <v>111</v>
      </c>
      <c r="J217" s="2" t="s">
        <v>357</v>
      </c>
      <c r="K217" s="2" t="s">
        <v>174</v>
      </c>
      <c r="L217" s="3">
        <v>0.3611111111111111</v>
      </c>
      <c r="M217" s="2" t="s">
        <v>358</v>
      </c>
      <c r="N217" s="2" t="s">
        <v>500</v>
      </c>
      <c r="O217" s="2"/>
    </row>
    <row r="218" spans="1:15" x14ac:dyDescent="0.25">
      <c r="A218" s="2" t="s">
        <v>15</v>
      </c>
      <c r="B218" s="2" t="str">
        <f>"FES1162767603"</f>
        <v>FES1162767603</v>
      </c>
      <c r="C218" s="2" t="s">
        <v>22</v>
      </c>
      <c r="D218" s="2">
        <v>1</v>
      </c>
      <c r="E218" s="2" t="str">
        <f>"2170754298"</f>
        <v>2170754298</v>
      </c>
      <c r="F218" s="2" t="s">
        <v>17</v>
      </c>
      <c r="G218" s="2" t="s">
        <v>18</v>
      </c>
      <c r="H218" s="2" t="s">
        <v>19</v>
      </c>
      <c r="I218" s="2" t="s">
        <v>20</v>
      </c>
      <c r="J218" s="2" t="s">
        <v>359</v>
      </c>
      <c r="K218" s="2" t="s">
        <v>174</v>
      </c>
      <c r="L218" s="3">
        <v>0.4916666666666667</v>
      </c>
      <c r="M218" s="2" t="s">
        <v>360</v>
      </c>
      <c r="N218" s="2" t="s">
        <v>500</v>
      </c>
      <c r="O218" s="2"/>
    </row>
    <row r="219" spans="1:15" x14ac:dyDescent="0.25">
      <c r="A219" s="2" t="s">
        <v>15</v>
      </c>
      <c r="B219" s="2" t="str">
        <f>"FES1162767667"</f>
        <v>FES1162767667</v>
      </c>
      <c r="C219" s="2" t="s">
        <v>22</v>
      </c>
      <c r="D219" s="2">
        <v>1</v>
      </c>
      <c r="E219" s="2" t="str">
        <f>"2170755589"</f>
        <v>2170755589</v>
      </c>
      <c r="F219" s="2" t="s">
        <v>17</v>
      </c>
      <c r="G219" s="2" t="s">
        <v>18</v>
      </c>
      <c r="H219" s="2" t="s">
        <v>25</v>
      </c>
      <c r="I219" s="2" t="s">
        <v>361</v>
      </c>
      <c r="J219" s="2" t="s">
        <v>280</v>
      </c>
      <c r="K219" s="2" t="s">
        <v>174</v>
      </c>
      <c r="L219" s="3">
        <v>0.41666666666666669</v>
      </c>
      <c r="M219" s="2" t="s">
        <v>362</v>
      </c>
      <c r="N219" s="2" t="s">
        <v>500</v>
      </c>
      <c r="O219" s="2"/>
    </row>
    <row r="220" spans="1:15" x14ac:dyDescent="0.25">
      <c r="A220" s="2" t="s">
        <v>15</v>
      </c>
      <c r="B220" s="2" t="str">
        <f>"FES1162767614"</f>
        <v>FES1162767614</v>
      </c>
      <c r="C220" s="2" t="s">
        <v>22</v>
      </c>
      <c r="D220" s="2">
        <v>1</v>
      </c>
      <c r="E220" s="2" t="str">
        <f>"2170754937"</f>
        <v>2170754937</v>
      </c>
      <c r="F220" s="2" t="s">
        <v>17</v>
      </c>
      <c r="G220" s="2" t="s">
        <v>18</v>
      </c>
      <c r="H220" s="2" t="s">
        <v>25</v>
      </c>
      <c r="I220" s="2" t="s">
        <v>345</v>
      </c>
      <c r="J220" s="2" t="s">
        <v>346</v>
      </c>
      <c r="K220" s="2" t="s">
        <v>411</v>
      </c>
      <c r="L220" s="3">
        <v>0.60069444444444442</v>
      </c>
      <c r="M220" s="2" t="s">
        <v>346</v>
      </c>
      <c r="N220" s="2" t="s">
        <v>500</v>
      </c>
      <c r="O220" s="2"/>
    </row>
    <row r="221" spans="1:15" x14ac:dyDescent="0.25">
      <c r="A221" s="2" t="s">
        <v>15</v>
      </c>
      <c r="B221" s="2" t="str">
        <f>"FES1162767628"</f>
        <v>FES1162767628</v>
      </c>
      <c r="C221" s="2" t="s">
        <v>22</v>
      </c>
      <c r="D221" s="2">
        <v>1</v>
      </c>
      <c r="E221" s="2" t="str">
        <f>"2170755193"</f>
        <v>2170755193</v>
      </c>
      <c r="F221" s="2" t="s">
        <v>17</v>
      </c>
      <c r="G221" s="2" t="s">
        <v>18</v>
      </c>
      <c r="H221" s="2" t="s">
        <v>25</v>
      </c>
      <c r="I221" s="2" t="s">
        <v>345</v>
      </c>
      <c r="J221" s="2" t="s">
        <v>346</v>
      </c>
      <c r="K221" s="2" t="s">
        <v>411</v>
      </c>
      <c r="L221" s="3">
        <v>0.6</v>
      </c>
      <c r="M221" s="2" t="s">
        <v>346</v>
      </c>
      <c r="N221" s="2" t="s">
        <v>500</v>
      </c>
      <c r="O221" s="2"/>
    </row>
    <row r="222" spans="1:15" x14ac:dyDescent="0.25">
      <c r="A222" s="2" t="s">
        <v>15</v>
      </c>
      <c r="B222" s="2" t="str">
        <f>"FES1162767701"</f>
        <v>FES1162767701</v>
      </c>
      <c r="C222" s="2" t="s">
        <v>22</v>
      </c>
      <c r="D222" s="2">
        <v>1</v>
      </c>
      <c r="E222" s="2" t="str">
        <f>"2170755025"</f>
        <v>2170755025</v>
      </c>
      <c r="F222" s="2" t="s">
        <v>17</v>
      </c>
      <c r="G222" s="2" t="s">
        <v>18</v>
      </c>
      <c r="H222" s="2" t="s">
        <v>19</v>
      </c>
      <c r="I222" s="2" t="s">
        <v>20</v>
      </c>
      <c r="J222" s="2" t="s">
        <v>343</v>
      </c>
      <c r="K222" s="2" t="s">
        <v>174</v>
      </c>
      <c r="L222" s="3">
        <v>0.41666666666666669</v>
      </c>
      <c r="M222" s="2" t="s">
        <v>344</v>
      </c>
      <c r="N222" s="2" t="s">
        <v>500</v>
      </c>
      <c r="O222" s="2"/>
    </row>
    <row r="223" spans="1:15" x14ac:dyDescent="0.25">
      <c r="A223" s="2" t="s">
        <v>15</v>
      </c>
      <c r="B223" s="2" t="str">
        <f>"FES1162767739"</f>
        <v>FES1162767739</v>
      </c>
      <c r="C223" s="2" t="s">
        <v>22</v>
      </c>
      <c r="D223" s="2">
        <v>1</v>
      </c>
      <c r="E223" s="2" t="str">
        <f>"2170755682"</f>
        <v>2170755682</v>
      </c>
      <c r="F223" s="2" t="s">
        <v>17</v>
      </c>
      <c r="G223" s="2" t="s">
        <v>18</v>
      </c>
      <c r="H223" s="2" t="s">
        <v>363</v>
      </c>
      <c r="I223" s="2" t="s">
        <v>364</v>
      </c>
      <c r="J223" s="2" t="s">
        <v>365</v>
      </c>
      <c r="K223" s="2" t="s">
        <v>174</v>
      </c>
      <c r="L223" s="3">
        <v>0.3833333333333333</v>
      </c>
      <c r="M223" s="2" t="s">
        <v>366</v>
      </c>
      <c r="N223" s="2" t="s">
        <v>500</v>
      </c>
      <c r="O223" s="2"/>
    </row>
    <row r="224" spans="1:15" x14ac:dyDescent="0.25">
      <c r="A224" s="2" t="s">
        <v>15</v>
      </c>
      <c r="B224" s="2" t="str">
        <f>"FES1162767720"</f>
        <v>FES1162767720</v>
      </c>
      <c r="C224" s="2" t="s">
        <v>22</v>
      </c>
      <c r="D224" s="2">
        <v>1</v>
      </c>
      <c r="E224" s="2" t="str">
        <f>"2170755663"</f>
        <v>2170755663</v>
      </c>
      <c r="F224" s="2" t="s">
        <v>17</v>
      </c>
      <c r="G224" s="2" t="s">
        <v>18</v>
      </c>
      <c r="H224" s="2" t="s">
        <v>19</v>
      </c>
      <c r="I224" s="2" t="s">
        <v>20</v>
      </c>
      <c r="J224" s="2" t="s">
        <v>327</v>
      </c>
      <c r="K224" s="2" t="s">
        <v>174</v>
      </c>
      <c r="L224" s="3">
        <v>0.32291666666666669</v>
      </c>
      <c r="M224" s="2" t="s">
        <v>328</v>
      </c>
      <c r="N224" s="2" t="s">
        <v>500</v>
      </c>
      <c r="O224" s="2"/>
    </row>
    <row r="225" spans="1:15" x14ac:dyDescent="0.25">
      <c r="A225" s="2" t="s">
        <v>15</v>
      </c>
      <c r="B225" s="2" t="str">
        <f>"FES1162767624"</f>
        <v>FES1162767624</v>
      </c>
      <c r="C225" s="2" t="s">
        <v>22</v>
      </c>
      <c r="D225" s="2">
        <v>1</v>
      </c>
      <c r="E225" s="2" t="str">
        <f>"2170755090"</f>
        <v>2170755090</v>
      </c>
      <c r="F225" s="2" t="s">
        <v>17</v>
      </c>
      <c r="G225" s="2" t="s">
        <v>18</v>
      </c>
      <c r="H225" s="2" t="s">
        <v>25</v>
      </c>
      <c r="I225" s="2" t="s">
        <v>345</v>
      </c>
      <c r="J225" s="2" t="s">
        <v>346</v>
      </c>
      <c r="K225" s="2" t="s">
        <v>411</v>
      </c>
      <c r="L225" s="3">
        <v>0.60138888888888886</v>
      </c>
      <c r="M225" s="2" t="s">
        <v>346</v>
      </c>
      <c r="N225" s="2" t="s">
        <v>500</v>
      </c>
      <c r="O225" s="2"/>
    </row>
    <row r="226" spans="1:15" x14ac:dyDescent="0.25">
      <c r="A226" s="2" t="s">
        <v>15</v>
      </c>
      <c r="B226" s="2" t="str">
        <f>"FES1162767656"</f>
        <v>FES1162767656</v>
      </c>
      <c r="C226" s="2" t="s">
        <v>22</v>
      </c>
      <c r="D226" s="2">
        <v>1</v>
      </c>
      <c r="E226" s="2" t="str">
        <f>"2170755521"</f>
        <v>2170755521</v>
      </c>
      <c r="F226" s="2" t="s">
        <v>17</v>
      </c>
      <c r="G226" s="2" t="s">
        <v>18</v>
      </c>
      <c r="H226" s="2" t="s">
        <v>25</v>
      </c>
      <c r="I226" s="2" t="s">
        <v>26</v>
      </c>
      <c r="J226" s="2" t="s">
        <v>367</v>
      </c>
      <c r="K226" s="2" t="s">
        <v>174</v>
      </c>
      <c r="L226" s="3">
        <v>0.38055555555555554</v>
      </c>
      <c r="M226" s="2" t="s">
        <v>368</v>
      </c>
      <c r="N226" s="2" t="s">
        <v>500</v>
      </c>
      <c r="O226" s="2"/>
    </row>
    <row r="227" spans="1:15" x14ac:dyDescent="0.25">
      <c r="A227" s="2" t="s">
        <v>15</v>
      </c>
      <c r="B227" s="2" t="str">
        <f>"FES1162767581"</f>
        <v>FES1162767581</v>
      </c>
      <c r="C227" s="2" t="s">
        <v>22</v>
      </c>
      <c r="D227" s="2">
        <v>1</v>
      </c>
      <c r="E227" s="2" t="str">
        <f>"2170752715"</f>
        <v>2170752715</v>
      </c>
      <c r="F227" s="2" t="s">
        <v>17</v>
      </c>
      <c r="G227" s="2" t="s">
        <v>18</v>
      </c>
      <c r="H227" s="2" t="s">
        <v>19</v>
      </c>
      <c r="I227" s="2" t="s">
        <v>111</v>
      </c>
      <c r="J227" s="2" t="s">
        <v>369</v>
      </c>
      <c r="K227" s="2" t="s">
        <v>174</v>
      </c>
      <c r="L227" s="3">
        <v>0.46249999999999997</v>
      </c>
      <c r="M227" s="2" t="s">
        <v>370</v>
      </c>
      <c r="N227" s="2" t="s">
        <v>500</v>
      </c>
      <c r="O227" s="2"/>
    </row>
    <row r="228" spans="1:15" x14ac:dyDescent="0.25">
      <c r="A228" s="2" t="s">
        <v>15</v>
      </c>
      <c r="B228" s="2" t="str">
        <f>"FES1162767654"</f>
        <v>FES1162767654</v>
      </c>
      <c r="C228" s="2" t="s">
        <v>22</v>
      </c>
      <c r="D228" s="2">
        <v>1</v>
      </c>
      <c r="E228" s="2" t="str">
        <f>"2170755504"</f>
        <v>2170755504</v>
      </c>
      <c r="F228" s="2" t="s">
        <v>17</v>
      </c>
      <c r="G228" s="2" t="s">
        <v>18</v>
      </c>
      <c r="H228" s="2" t="s">
        <v>33</v>
      </c>
      <c r="I228" s="2" t="s">
        <v>34</v>
      </c>
      <c r="J228" s="2" t="s">
        <v>371</v>
      </c>
      <c r="K228" s="2" t="s">
        <v>174</v>
      </c>
      <c r="L228" s="3">
        <v>0.43333333333333335</v>
      </c>
      <c r="M228" s="2" t="s">
        <v>372</v>
      </c>
      <c r="N228" s="2" t="s">
        <v>500</v>
      </c>
      <c r="O228" s="2"/>
    </row>
    <row r="229" spans="1:15" x14ac:dyDescent="0.25">
      <c r="A229" s="2" t="s">
        <v>15</v>
      </c>
      <c r="B229" s="2" t="str">
        <f>"FES1162767678"</f>
        <v>FES1162767678</v>
      </c>
      <c r="C229" s="2" t="s">
        <v>22</v>
      </c>
      <c r="D229" s="2">
        <v>1</v>
      </c>
      <c r="E229" s="2" t="str">
        <f>"2170755617"</f>
        <v>2170755617</v>
      </c>
      <c r="F229" s="2" t="s">
        <v>205</v>
      </c>
      <c r="G229" s="2" t="s">
        <v>206</v>
      </c>
      <c r="H229" s="2" t="s">
        <v>36</v>
      </c>
      <c r="I229" s="2" t="s">
        <v>373</v>
      </c>
      <c r="J229" s="2" t="s">
        <v>374</v>
      </c>
      <c r="K229" s="2" t="s">
        <v>174</v>
      </c>
      <c r="L229" s="3">
        <v>0.60416666666666663</v>
      </c>
      <c r="M229" s="2" t="s">
        <v>375</v>
      </c>
      <c r="N229" s="2" t="s">
        <v>500</v>
      </c>
      <c r="O229" s="2"/>
    </row>
    <row r="230" spans="1:15" x14ac:dyDescent="0.25">
      <c r="A230" s="2" t="s">
        <v>15</v>
      </c>
      <c r="B230" s="2" t="str">
        <f>"FES1162767626"</f>
        <v>FES1162767626</v>
      </c>
      <c r="C230" s="2" t="s">
        <v>22</v>
      </c>
      <c r="D230" s="2">
        <v>1</v>
      </c>
      <c r="E230" s="2" t="str">
        <f>"2170755106"</f>
        <v>2170755106</v>
      </c>
      <c r="F230" s="2" t="s">
        <v>17</v>
      </c>
      <c r="G230" s="2" t="s">
        <v>18</v>
      </c>
      <c r="H230" s="2" t="s">
        <v>36</v>
      </c>
      <c r="I230" s="2" t="s">
        <v>37</v>
      </c>
      <c r="J230" s="2" t="s">
        <v>376</v>
      </c>
      <c r="K230" s="2" t="s">
        <v>174</v>
      </c>
      <c r="L230" s="3">
        <v>0.36944444444444446</v>
      </c>
      <c r="M230" s="2" t="s">
        <v>377</v>
      </c>
      <c r="N230" s="2" t="s">
        <v>500</v>
      </c>
      <c r="O230" s="2"/>
    </row>
    <row r="231" spans="1:15" x14ac:dyDescent="0.25">
      <c r="A231" s="2" t="s">
        <v>15</v>
      </c>
      <c r="B231" s="2" t="str">
        <f>"FES1162767681"</f>
        <v>FES1162767681</v>
      </c>
      <c r="C231" s="2" t="s">
        <v>22</v>
      </c>
      <c r="D231" s="2">
        <v>1</v>
      </c>
      <c r="E231" s="2" t="str">
        <f>"2170755630"</f>
        <v>2170755630</v>
      </c>
      <c r="F231" s="2" t="s">
        <v>17</v>
      </c>
      <c r="G231" s="2" t="s">
        <v>18</v>
      </c>
      <c r="H231" s="2" t="s">
        <v>36</v>
      </c>
      <c r="I231" s="2" t="s">
        <v>37</v>
      </c>
      <c r="J231" s="2" t="s">
        <v>378</v>
      </c>
      <c r="K231" s="2" t="s">
        <v>174</v>
      </c>
      <c r="L231" s="3">
        <v>0.3611111111111111</v>
      </c>
      <c r="M231" s="2" t="s">
        <v>379</v>
      </c>
      <c r="N231" s="2" t="s">
        <v>500</v>
      </c>
      <c r="O231" s="2"/>
    </row>
    <row r="232" spans="1:15" x14ac:dyDescent="0.25">
      <c r="A232" s="2" t="s">
        <v>15</v>
      </c>
      <c r="B232" s="2" t="str">
        <f>"FES1162767605"</f>
        <v>FES1162767605</v>
      </c>
      <c r="C232" s="2" t="s">
        <v>22</v>
      </c>
      <c r="D232" s="2">
        <v>1</v>
      </c>
      <c r="E232" s="2" t="str">
        <f>"2170754461"</f>
        <v>2170754461</v>
      </c>
      <c r="F232" s="2" t="s">
        <v>17</v>
      </c>
      <c r="G232" s="2" t="s">
        <v>18</v>
      </c>
      <c r="H232" s="2" t="s">
        <v>19</v>
      </c>
      <c r="I232" s="2" t="s">
        <v>20</v>
      </c>
      <c r="J232" s="2" t="s">
        <v>281</v>
      </c>
      <c r="K232" s="2" t="s">
        <v>174</v>
      </c>
      <c r="L232" s="3">
        <v>0.63611111111111118</v>
      </c>
      <c r="M232" s="2" t="s">
        <v>282</v>
      </c>
      <c r="N232" s="2" t="s">
        <v>500</v>
      </c>
      <c r="O232" s="2"/>
    </row>
    <row r="233" spans="1:15" x14ac:dyDescent="0.25">
      <c r="A233" s="2" t="s">
        <v>15</v>
      </c>
      <c r="B233" s="2" t="str">
        <f>"FES1162767677"</f>
        <v>FES1162767677</v>
      </c>
      <c r="C233" s="2" t="s">
        <v>22</v>
      </c>
      <c r="D233" s="2">
        <v>1</v>
      </c>
      <c r="E233" s="2" t="str">
        <f>"2170755610"</f>
        <v>2170755610</v>
      </c>
      <c r="F233" s="2" t="s">
        <v>17</v>
      </c>
      <c r="G233" s="2" t="s">
        <v>18</v>
      </c>
      <c r="H233" s="2" t="s">
        <v>19</v>
      </c>
      <c r="I233" s="2" t="s">
        <v>20</v>
      </c>
      <c r="J233" s="2" t="s">
        <v>380</v>
      </c>
      <c r="K233" s="2" t="s">
        <v>174</v>
      </c>
      <c r="L233" s="3">
        <v>0.62569444444444444</v>
      </c>
      <c r="M233" s="2" t="s">
        <v>381</v>
      </c>
      <c r="N233" s="2" t="s">
        <v>500</v>
      </c>
      <c r="O233" s="2"/>
    </row>
    <row r="234" spans="1:15" x14ac:dyDescent="0.25">
      <c r="A234" s="2" t="s">
        <v>15</v>
      </c>
      <c r="B234" s="2" t="str">
        <f>"FES1162767773"</f>
        <v>FES1162767773</v>
      </c>
      <c r="C234" s="2" t="s">
        <v>22</v>
      </c>
      <c r="D234" s="2">
        <v>1</v>
      </c>
      <c r="E234" s="2" t="str">
        <f>"2170755742"</f>
        <v>2170755742</v>
      </c>
      <c r="F234" s="2" t="s">
        <v>17</v>
      </c>
      <c r="G234" s="2" t="s">
        <v>18</v>
      </c>
      <c r="H234" s="2" t="s">
        <v>88</v>
      </c>
      <c r="I234" s="2" t="s">
        <v>109</v>
      </c>
      <c r="J234" s="2" t="s">
        <v>141</v>
      </c>
      <c r="K234" s="2" t="s">
        <v>174</v>
      </c>
      <c r="L234" s="3">
        <v>0.43055555555555558</v>
      </c>
      <c r="M234" s="2" t="s">
        <v>382</v>
      </c>
      <c r="N234" s="2" t="s">
        <v>500</v>
      </c>
      <c r="O234" s="2"/>
    </row>
    <row r="235" spans="1:15" x14ac:dyDescent="0.25">
      <c r="A235" s="2" t="s">
        <v>15</v>
      </c>
      <c r="B235" s="2" t="str">
        <f>"FES1162767669"</f>
        <v>FES1162767669</v>
      </c>
      <c r="C235" s="2" t="s">
        <v>22</v>
      </c>
      <c r="D235" s="2">
        <v>1</v>
      </c>
      <c r="E235" s="2" t="str">
        <f>"2170755600"</f>
        <v>2170755600</v>
      </c>
      <c r="F235" s="2" t="s">
        <v>17</v>
      </c>
      <c r="G235" s="2" t="s">
        <v>18</v>
      </c>
      <c r="H235" s="2" t="s">
        <v>78</v>
      </c>
      <c r="I235" s="2" t="s">
        <v>79</v>
      </c>
      <c r="J235" s="2" t="s">
        <v>383</v>
      </c>
      <c r="K235" s="2" t="s">
        <v>174</v>
      </c>
      <c r="L235" s="3">
        <v>0.42638888888888887</v>
      </c>
      <c r="M235" s="2" t="s">
        <v>505</v>
      </c>
      <c r="N235" s="2" t="s">
        <v>500</v>
      </c>
      <c r="O235" s="2"/>
    </row>
    <row r="236" spans="1:15" x14ac:dyDescent="0.25">
      <c r="A236" s="2" t="s">
        <v>15</v>
      </c>
      <c r="B236" s="2" t="str">
        <f>"FES1162767646"</f>
        <v>FES1162767646</v>
      </c>
      <c r="C236" s="2" t="s">
        <v>22</v>
      </c>
      <c r="D236" s="2">
        <v>1</v>
      </c>
      <c r="E236" s="2" t="str">
        <f>"2170755456"</f>
        <v>2170755456</v>
      </c>
      <c r="F236" s="2" t="s">
        <v>17</v>
      </c>
      <c r="G236" s="2" t="s">
        <v>18</v>
      </c>
      <c r="H236" s="2" t="s">
        <v>19</v>
      </c>
      <c r="I236" s="2" t="s">
        <v>111</v>
      </c>
      <c r="J236" s="2" t="s">
        <v>384</v>
      </c>
      <c r="K236" s="2" t="s">
        <v>174</v>
      </c>
      <c r="L236" s="3">
        <v>0.51041666666666663</v>
      </c>
      <c r="M236" s="2" t="s">
        <v>358</v>
      </c>
      <c r="N236" s="2" t="s">
        <v>500</v>
      </c>
      <c r="O236" s="2"/>
    </row>
    <row r="237" spans="1:15" x14ac:dyDescent="0.25">
      <c r="A237" s="2" t="s">
        <v>15</v>
      </c>
      <c r="B237" s="2" t="str">
        <f>"FES1162767679"</f>
        <v>FES1162767679</v>
      </c>
      <c r="C237" s="2" t="s">
        <v>22</v>
      </c>
      <c r="D237" s="2">
        <v>1</v>
      </c>
      <c r="E237" s="2" t="str">
        <f>"2170755620"</f>
        <v>2170755620</v>
      </c>
      <c r="F237" s="2" t="s">
        <v>17</v>
      </c>
      <c r="G237" s="2" t="s">
        <v>18</v>
      </c>
      <c r="H237" s="2" t="s">
        <v>19</v>
      </c>
      <c r="I237" s="2" t="s">
        <v>111</v>
      </c>
      <c r="J237" s="2" t="s">
        <v>385</v>
      </c>
      <c r="K237" s="2" t="s">
        <v>174</v>
      </c>
      <c r="L237" s="3">
        <v>0.4069444444444445</v>
      </c>
      <c r="M237" s="2" t="s">
        <v>386</v>
      </c>
      <c r="N237" s="2" t="s">
        <v>500</v>
      </c>
      <c r="O237" s="2"/>
    </row>
    <row r="238" spans="1:15" x14ac:dyDescent="0.25">
      <c r="A238" s="2" t="s">
        <v>15</v>
      </c>
      <c r="B238" s="2" t="str">
        <f>"FES1162767648"</f>
        <v>FES1162767648</v>
      </c>
      <c r="C238" s="2" t="s">
        <v>22</v>
      </c>
      <c r="D238" s="2">
        <v>1</v>
      </c>
      <c r="E238" s="2" t="str">
        <f>"2170755471"</f>
        <v>2170755471</v>
      </c>
      <c r="F238" s="2" t="s">
        <v>17</v>
      </c>
      <c r="G238" s="2" t="s">
        <v>18</v>
      </c>
      <c r="H238" s="2" t="s">
        <v>25</v>
      </c>
      <c r="I238" s="2" t="s">
        <v>26</v>
      </c>
      <c r="J238" s="2" t="s">
        <v>387</v>
      </c>
      <c r="K238" s="2" t="s">
        <v>174</v>
      </c>
      <c r="L238" s="3">
        <v>0.4770833333333333</v>
      </c>
      <c r="M238" s="2" t="s">
        <v>388</v>
      </c>
      <c r="N238" s="2" t="s">
        <v>500</v>
      </c>
      <c r="O238" s="2"/>
    </row>
    <row r="239" spans="1:15" x14ac:dyDescent="0.25">
      <c r="A239" s="2" t="s">
        <v>15</v>
      </c>
      <c r="B239" s="2" t="str">
        <f>"FES1162767644"</f>
        <v>FES1162767644</v>
      </c>
      <c r="C239" s="2" t="s">
        <v>22</v>
      </c>
      <c r="D239" s="2">
        <v>1</v>
      </c>
      <c r="E239" s="2" t="str">
        <f>"2170755393"</f>
        <v>2170755393</v>
      </c>
      <c r="F239" s="2" t="s">
        <v>17</v>
      </c>
      <c r="G239" s="2" t="s">
        <v>18</v>
      </c>
      <c r="H239" s="2" t="s">
        <v>78</v>
      </c>
      <c r="I239" s="2" t="s">
        <v>79</v>
      </c>
      <c r="J239" s="2" t="s">
        <v>327</v>
      </c>
      <c r="K239" s="2" t="s">
        <v>174</v>
      </c>
      <c r="L239" s="3">
        <v>0.4201388888888889</v>
      </c>
      <c r="M239" s="2" t="s">
        <v>506</v>
      </c>
      <c r="N239" s="2" t="s">
        <v>500</v>
      </c>
      <c r="O239" s="2"/>
    </row>
    <row r="240" spans="1:15" x14ac:dyDescent="0.25">
      <c r="A240" s="2" t="s">
        <v>15</v>
      </c>
      <c r="B240" s="2" t="str">
        <f>"FES1162767627"</f>
        <v>FES1162767627</v>
      </c>
      <c r="C240" s="2" t="s">
        <v>22</v>
      </c>
      <c r="D240" s="2">
        <v>1</v>
      </c>
      <c r="E240" s="2" t="str">
        <f>"2170755137"</f>
        <v>2170755137</v>
      </c>
      <c r="F240" s="2" t="s">
        <v>17</v>
      </c>
      <c r="G240" s="2" t="s">
        <v>18</v>
      </c>
      <c r="H240" s="2" t="s">
        <v>19</v>
      </c>
      <c r="I240" s="2" t="s">
        <v>111</v>
      </c>
      <c r="J240" s="2" t="s">
        <v>112</v>
      </c>
      <c r="K240" s="2" t="s">
        <v>174</v>
      </c>
      <c r="L240" s="3">
        <v>0.49444444444444446</v>
      </c>
      <c r="M240" s="2" t="s">
        <v>389</v>
      </c>
      <c r="N240" s="2" t="s">
        <v>500</v>
      </c>
      <c r="O240" s="2"/>
    </row>
    <row r="241" spans="1:15" x14ac:dyDescent="0.25">
      <c r="A241" s="2" t="s">
        <v>15</v>
      </c>
      <c r="B241" s="2" t="str">
        <f>"FES1162767724"</f>
        <v>FES1162767724</v>
      </c>
      <c r="C241" s="2" t="s">
        <v>22</v>
      </c>
      <c r="D241" s="2">
        <v>1</v>
      </c>
      <c r="E241" s="2" t="str">
        <f>"2170755668"</f>
        <v>2170755668</v>
      </c>
      <c r="F241" s="2" t="s">
        <v>17</v>
      </c>
      <c r="G241" s="2" t="s">
        <v>18</v>
      </c>
      <c r="H241" s="2" t="s">
        <v>18</v>
      </c>
      <c r="I241" s="2" t="s">
        <v>390</v>
      </c>
      <c r="J241" s="2" t="s">
        <v>391</v>
      </c>
      <c r="K241" s="2" t="s">
        <v>174</v>
      </c>
      <c r="L241" s="3">
        <v>0.35416666666666669</v>
      </c>
      <c r="M241" s="2" t="s">
        <v>392</v>
      </c>
      <c r="N241" s="2" t="s">
        <v>500</v>
      </c>
      <c r="O241" s="2"/>
    </row>
    <row r="242" spans="1:15" x14ac:dyDescent="0.25">
      <c r="A242" s="2" t="s">
        <v>15</v>
      </c>
      <c r="B242" s="2" t="str">
        <f>"FES1162767757"</f>
        <v>FES1162767757</v>
      </c>
      <c r="C242" s="2" t="s">
        <v>22</v>
      </c>
      <c r="D242" s="2">
        <v>1</v>
      </c>
      <c r="E242" s="2" t="str">
        <f>"2170755710"</f>
        <v>2170755710</v>
      </c>
      <c r="F242" s="2" t="s">
        <v>17</v>
      </c>
      <c r="G242" s="2" t="s">
        <v>18</v>
      </c>
      <c r="H242" s="2" t="s">
        <v>88</v>
      </c>
      <c r="I242" s="2" t="s">
        <v>109</v>
      </c>
      <c r="J242" s="2" t="s">
        <v>93</v>
      </c>
      <c r="K242" s="2" t="s">
        <v>174</v>
      </c>
      <c r="L242" s="3">
        <v>0.50694444444444442</v>
      </c>
      <c r="M242" s="2" t="s">
        <v>393</v>
      </c>
      <c r="N242" s="2" t="s">
        <v>500</v>
      </c>
      <c r="O242" s="2"/>
    </row>
    <row r="243" spans="1:15" x14ac:dyDescent="0.25">
      <c r="A243" s="2" t="s">
        <v>15</v>
      </c>
      <c r="B243" s="2" t="str">
        <f>"FES1162767637"</f>
        <v>FES1162767637</v>
      </c>
      <c r="C243" s="2" t="s">
        <v>22</v>
      </c>
      <c r="D243" s="2">
        <v>1</v>
      </c>
      <c r="E243" s="2" t="str">
        <f>"2170755317"</f>
        <v>2170755317</v>
      </c>
      <c r="F243" s="2" t="s">
        <v>17</v>
      </c>
      <c r="G243" s="2" t="s">
        <v>18</v>
      </c>
      <c r="H243" s="2" t="s">
        <v>18</v>
      </c>
      <c r="I243" s="2" t="s">
        <v>157</v>
      </c>
      <c r="J243" s="2" t="s">
        <v>347</v>
      </c>
      <c r="K243" s="2" t="s">
        <v>174</v>
      </c>
      <c r="L243" s="3">
        <v>0.4465277777777778</v>
      </c>
      <c r="M243" s="2" t="s">
        <v>348</v>
      </c>
      <c r="N243" s="2" t="s">
        <v>500</v>
      </c>
      <c r="O243" s="2"/>
    </row>
    <row r="244" spans="1:15" x14ac:dyDescent="0.25">
      <c r="A244" s="2" t="s">
        <v>15</v>
      </c>
      <c r="B244" s="2" t="str">
        <f>"FES1162767618"</f>
        <v>FES1162767618</v>
      </c>
      <c r="C244" s="2" t="s">
        <v>22</v>
      </c>
      <c r="D244" s="2">
        <v>1</v>
      </c>
      <c r="E244" s="2" t="str">
        <f>"2170755018"</f>
        <v>2170755018</v>
      </c>
      <c r="F244" s="2" t="s">
        <v>17</v>
      </c>
      <c r="G244" s="2" t="s">
        <v>18</v>
      </c>
      <c r="H244" s="2" t="s">
        <v>88</v>
      </c>
      <c r="I244" s="2" t="s">
        <v>109</v>
      </c>
      <c r="J244" s="2" t="s">
        <v>66</v>
      </c>
      <c r="K244" s="2" t="s">
        <v>174</v>
      </c>
      <c r="L244" s="3">
        <v>0.41666666666666669</v>
      </c>
      <c r="M244" s="2" t="s">
        <v>335</v>
      </c>
      <c r="N244" s="2" t="s">
        <v>500</v>
      </c>
      <c r="O244" s="2"/>
    </row>
    <row r="245" spans="1:15" x14ac:dyDescent="0.25">
      <c r="A245" s="2" t="s">
        <v>15</v>
      </c>
      <c r="B245" s="2" t="str">
        <f>"FES1162767619"</f>
        <v>FES1162767619</v>
      </c>
      <c r="C245" s="2" t="s">
        <v>22</v>
      </c>
      <c r="D245" s="2">
        <v>1</v>
      </c>
      <c r="E245" s="2" t="str">
        <f>"2170755032"</f>
        <v>2170755032</v>
      </c>
      <c r="F245" s="2" t="s">
        <v>17</v>
      </c>
      <c r="G245" s="2" t="s">
        <v>18</v>
      </c>
      <c r="H245" s="2" t="s">
        <v>18</v>
      </c>
      <c r="I245" s="2" t="s">
        <v>390</v>
      </c>
      <c r="J245" s="2" t="s">
        <v>391</v>
      </c>
      <c r="K245" s="2" t="s">
        <v>174</v>
      </c>
      <c r="L245" s="3">
        <v>0.35416666666666669</v>
      </c>
      <c r="M245" s="2" t="s">
        <v>394</v>
      </c>
      <c r="N245" s="2" t="s">
        <v>500</v>
      </c>
      <c r="O245" s="2"/>
    </row>
    <row r="246" spans="1:15" x14ac:dyDescent="0.25">
      <c r="A246" s="2" t="s">
        <v>15</v>
      </c>
      <c r="B246" s="2" t="str">
        <f>"FES1162767572"</f>
        <v>FES1162767572</v>
      </c>
      <c r="C246" s="2" t="s">
        <v>22</v>
      </c>
      <c r="D246" s="2">
        <v>1</v>
      </c>
      <c r="E246" s="2" t="str">
        <f>"2170750164"</f>
        <v>2170750164</v>
      </c>
      <c r="F246" s="2" t="s">
        <v>17</v>
      </c>
      <c r="G246" s="2" t="s">
        <v>18</v>
      </c>
      <c r="H246" s="2" t="s">
        <v>78</v>
      </c>
      <c r="I246" s="2" t="s">
        <v>79</v>
      </c>
      <c r="J246" s="2" t="s">
        <v>113</v>
      </c>
      <c r="K246" s="2" t="s">
        <v>174</v>
      </c>
      <c r="L246" s="3">
        <v>0.45833333333333331</v>
      </c>
      <c r="M246" s="2" t="s">
        <v>504</v>
      </c>
      <c r="N246" s="2" t="s">
        <v>500</v>
      </c>
      <c r="O246" s="2"/>
    </row>
    <row r="247" spans="1:15" x14ac:dyDescent="0.25">
      <c r="A247" s="2" t="s">
        <v>15</v>
      </c>
      <c r="B247" s="2" t="str">
        <f>"FES1162767730"</f>
        <v>FES1162767730</v>
      </c>
      <c r="C247" s="2" t="s">
        <v>22</v>
      </c>
      <c r="D247" s="2">
        <v>1</v>
      </c>
      <c r="E247" s="2" t="str">
        <f>"2170754638"</f>
        <v>2170754638</v>
      </c>
      <c r="F247" s="2" t="s">
        <v>17</v>
      </c>
      <c r="G247" s="2" t="s">
        <v>18</v>
      </c>
      <c r="H247" s="2" t="s">
        <v>88</v>
      </c>
      <c r="I247" s="2" t="s">
        <v>109</v>
      </c>
      <c r="J247" s="2" t="s">
        <v>395</v>
      </c>
      <c r="K247" s="2" t="s">
        <v>174</v>
      </c>
      <c r="L247" s="3">
        <v>0.4236111111111111</v>
      </c>
      <c r="M247" s="2" t="s">
        <v>396</v>
      </c>
      <c r="N247" s="2" t="s">
        <v>500</v>
      </c>
      <c r="O247" s="2"/>
    </row>
    <row r="248" spans="1:15" x14ac:dyDescent="0.25">
      <c r="A248" s="2" t="s">
        <v>15</v>
      </c>
      <c r="B248" s="2" t="str">
        <f>"FES1162767743"</f>
        <v>FES1162767743</v>
      </c>
      <c r="C248" s="2" t="s">
        <v>22</v>
      </c>
      <c r="D248" s="2">
        <v>1</v>
      </c>
      <c r="E248" s="2" t="str">
        <f>"2170755686"</f>
        <v>2170755686</v>
      </c>
      <c r="F248" s="2" t="s">
        <v>17</v>
      </c>
      <c r="G248" s="2" t="s">
        <v>18</v>
      </c>
      <c r="H248" s="2" t="s">
        <v>18</v>
      </c>
      <c r="I248" s="2" t="s">
        <v>63</v>
      </c>
      <c r="J248" s="2" t="s">
        <v>93</v>
      </c>
      <c r="K248" s="2" t="s">
        <v>174</v>
      </c>
      <c r="L248" s="3">
        <v>0.42569444444444443</v>
      </c>
      <c r="M248" s="2" t="s">
        <v>397</v>
      </c>
      <c r="N248" s="2" t="s">
        <v>500</v>
      </c>
      <c r="O248" s="2"/>
    </row>
    <row r="249" spans="1:15" x14ac:dyDescent="0.25">
      <c r="A249" s="2" t="s">
        <v>15</v>
      </c>
      <c r="B249" s="2" t="str">
        <f>"FES1162767717"</f>
        <v>FES1162767717</v>
      </c>
      <c r="C249" s="2" t="s">
        <v>22</v>
      </c>
      <c r="D249" s="2">
        <v>1</v>
      </c>
      <c r="E249" s="2" t="str">
        <f>"2170748982"</f>
        <v>2170748982</v>
      </c>
      <c r="F249" s="2" t="s">
        <v>17</v>
      </c>
      <c r="G249" s="2" t="s">
        <v>18</v>
      </c>
      <c r="H249" s="2" t="s">
        <v>36</v>
      </c>
      <c r="I249" s="2" t="s">
        <v>37</v>
      </c>
      <c r="J249" s="2" t="s">
        <v>102</v>
      </c>
      <c r="K249" s="2" t="s">
        <v>174</v>
      </c>
      <c r="L249" s="3">
        <v>0.38472222222222219</v>
      </c>
      <c r="M249" s="2" t="s">
        <v>398</v>
      </c>
      <c r="N249" s="2" t="s">
        <v>500</v>
      </c>
      <c r="O249" s="2"/>
    </row>
    <row r="250" spans="1:15" x14ac:dyDescent="0.25">
      <c r="A250" s="2" t="s">
        <v>15</v>
      </c>
      <c r="B250" s="2" t="str">
        <f>"FES1162767645"</f>
        <v>FES1162767645</v>
      </c>
      <c r="C250" s="2" t="s">
        <v>22</v>
      </c>
      <c r="D250" s="2">
        <v>1</v>
      </c>
      <c r="E250" s="2" t="str">
        <f>"2170755408"</f>
        <v>2170755408</v>
      </c>
      <c r="F250" s="2" t="s">
        <v>17</v>
      </c>
      <c r="G250" s="2" t="s">
        <v>18</v>
      </c>
      <c r="H250" s="2" t="s">
        <v>19</v>
      </c>
      <c r="I250" s="2" t="s">
        <v>269</v>
      </c>
      <c r="J250" s="2" t="s">
        <v>270</v>
      </c>
      <c r="K250" s="2" t="s">
        <v>174</v>
      </c>
      <c r="L250" s="3">
        <v>0.36527777777777781</v>
      </c>
      <c r="M250" s="2" t="s">
        <v>271</v>
      </c>
      <c r="N250" s="2" t="s">
        <v>500</v>
      </c>
      <c r="O250" s="2"/>
    </row>
    <row r="251" spans="1:15" x14ac:dyDescent="0.25">
      <c r="A251" s="2" t="s">
        <v>15</v>
      </c>
      <c r="B251" s="2" t="str">
        <f>"FES1162767575"</f>
        <v>FES1162767575</v>
      </c>
      <c r="C251" s="2" t="s">
        <v>22</v>
      </c>
      <c r="D251" s="2">
        <v>1</v>
      </c>
      <c r="E251" s="2" t="str">
        <f>"2170751015"</f>
        <v>2170751015</v>
      </c>
      <c r="F251" s="2" t="s">
        <v>17</v>
      </c>
      <c r="G251" s="2" t="s">
        <v>18</v>
      </c>
      <c r="H251" s="2" t="s">
        <v>78</v>
      </c>
      <c r="I251" s="2" t="s">
        <v>79</v>
      </c>
      <c r="J251" s="2" t="s">
        <v>113</v>
      </c>
      <c r="K251" s="2" t="s">
        <v>174</v>
      </c>
      <c r="L251" s="3">
        <v>0.45833333333333331</v>
      </c>
      <c r="M251" s="2" t="s">
        <v>504</v>
      </c>
      <c r="N251" s="2" t="s">
        <v>500</v>
      </c>
      <c r="O251" s="2"/>
    </row>
    <row r="252" spans="1:15" x14ac:dyDescent="0.25">
      <c r="A252" s="2" t="s">
        <v>15</v>
      </c>
      <c r="B252" s="2" t="str">
        <f>"FES1162767693"</f>
        <v>FES1162767693</v>
      </c>
      <c r="C252" s="2" t="s">
        <v>22</v>
      </c>
      <c r="D252" s="2">
        <v>1</v>
      </c>
      <c r="E252" s="2" t="str">
        <f>"2170755631"</f>
        <v>2170755631</v>
      </c>
      <c r="F252" s="2" t="s">
        <v>205</v>
      </c>
      <c r="G252" s="2" t="s">
        <v>206</v>
      </c>
      <c r="H252" s="2" t="s">
        <v>36</v>
      </c>
      <c r="I252" s="2" t="s">
        <v>37</v>
      </c>
      <c r="J252" s="2" t="s">
        <v>378</v>
      </c>
      <c r="K252" s="2" t="s">
        <v>174</v>
      </c>
      <c r="L252" s="3">
        <v>0.375</v>
      </c>
      <c r="M252" s="2" t="s">
        <v>379</v>
      </c>
      <c r="N252" s="2" t="s">
        <v>500</v>
      </c>
      <c r="O252" s="2"/>
    </row>
    <row r="253" spans="1:15" x14ac:dyDescent="0.25">
      <c r="A253" s="2" t="s">
        <v>15</v>
      </c>
      <c r="B253" s="2" t="str">
        <f>"FES1162767609"</f>
        <v>FES1162767609</v>
      </c>
      <c r="C253" s="2" t="s">
        <v>22</v>
      </c>
      <c r="D253" s="2">
        <v>1</v>
      </c>
      <c r="E253" s="2" t="str">
        <f>"2170754710"</f>
        <v>2170754710</v>
      </c>
      <c r="F253" s="2" t="s">
        <v>17</v>
      </c>
      <c r="G253" s="2" t="s">
        <v>18</v>
      </c>
      <c r="H253" s="2" t="s">
        <v>19</v>
      </c>
      <c r="I253" s="2" t="s">
        <v>20</v>
      </c>
      <c r="J253" s="2" t="s">
        <v>281</v>
      </c>
      <c r="K253" s="2" t="s">
        <v>174</v>
      </c>
      <c r="L253" s="3">
        <v>0.63541666666666663</v>
      </c>
      <c r="M253" s="2" t="s">
        <v>282</v>
      </c>
      <c r="N253" s="2" t="s">
        <v>500</v>
      </c>
      <c r="O253" s="2"/>
    </row>
    <row r="254" spans="1:15" x14ac:dyDescent="0.25">
      <c r="A254" s="2" t="s">
        <v>15</v>
      </c>
      <c r="B254" s="2" t="str">
        <f>"FES1162767754"</f>
        <v>FES1162767754</v>
      </c>
      <c r="C254" s="2" t="s">
        <v>22</v>
      </c>
      <c r="D254" s="2">
        <v>1</v>
      </c>
      <c r="E254" s="2" t="str">
        <f>"2170755708"</f>
        <v>2170755708</v>
      </c>
      <c r="F254" s="2" t="s">
        <v>17</v>
      </c>
      <c r="G254" s="2" t="s">
        <v>18</v>
      </c>
      <c r="H254" s="2" t="s">
        <v>18</v>
      </c>
      <c r="I254" s="2" t="s">
        <v>116</v>
      </c>
      <c r="J254" s="2" t="s">
        <v>331</v>
      </c>
      <c r="K254" s="2" t="s">
        <v>174</v>
      </c>
      <c r="L254" s="3">
        <v>0.36805555555555558</v>
      </c>
      <c r="M254" s="2" t="s">
        <v>332</v>
      </c>
      <c r="N254" s="2" t="s">
        <v>500</v>
      </c>
      <c r="O254" s="2"/>
    </row>
    <row r="255" spans="1:15" x14ac:dyDescent="0.25">
      <c r="A255" s="2" t="s">
        <v>15</v>
      </c>
      <c r="B255" s="2" t="str">
        <f>"FES1162767763"</f>
        <v>FES1162767763</v>
      </c>
      <c r="C255" s="2" t="s">
        <v>22</v>
      </c>
      <c r="D255" s="2">
        <v>1</v>
      </c>
      <c r="E255" s="2" t="str">
        <f>"2170755724"</f>
        <v>2170755724</v>
      </c>
      <c r="F255" s="2" t="s">
        <v>17</v>
      </c>
      <c r="G255" s="2" t="s">
        <v>18</v>
      </c>
      <c r="H255" s="2" t="s">
        <v>36</v>
      </c>
      <c r="I255" s="2" t="s">
        <v>37</v>
      </c>
      <c r="J255" s="2" t="s">
        <v>102</v>
      </c>
      <c r="K255" s="2" t="s">
        <v>174</v>
      </c>
      <c r="L255" s="3">
        <v>0.4069444444444445</v>
      </c>
      <c r="M255" s="2" t="s">
        <v>399</v>
      </c>
      <c r="N255" s="2" t="s">
        <v>500</v>
      </c>
      <c r="O255" s="2"/>
    </row>
    <row r="256" spans="1:15" x14ac:dyDescent="0.25">
      <c r="A256" s="2" t="s">
        <v>15</v>
      </c>
      <c r="B256" s="2" t="str">
        <f>"FES1162767770"</f>
        <v>FES1162767770</v>
      </c>
      <c r="C256" s="2" t="s">
        <v>22</v>
      </c>
      <c r="D256" s="2">
        <v>1</v>
      </c>
      <c r="E256" s="2" t="str">
        <f>"2170755739"</f>
        <v>2170755739</v>
      </c>
      <c r="F256" s="2" t="s">
        <v>17</v>
      </c>
      <c r="G256" s="2" t="s">
        <v>18</v>
      </c>
      <c r="H256" s="2" t="s">
        <v>19</v>
      </c>
      <c r="I256" s="2" t="s">
        <v>20</v>
      </c>
      <c r="J256" s="2" t="s">
        <v>123</v>
      </c>
      <c r="K256" s="2" t="s">
        <v>174</v>
      </c>
      <c r="L256" s="3">
        <v>0.4145833333333333</v>
      </c>
      <c r="M256" s="2" t="s">
        <v>233</v>
      </c>
      <c r="N256" s="2" t="s">
        <v>500</v>
      </c>
      <c r="O256" s="2"/>
    </row>
    <row r="257" spans="1:15" x14ac:dyDescent="0.25">
      <c r="A257" s="2" t="s">
        <v>15</v>
      </c>
      <c r="B257" s="2" t="str">
        <f>"FES1162767756"</f>
        <v>FES1162767756</v>
      </c>
      <c r="C257" s="2" t="s">
        <v>22</v>
      </c>
      <c r="D257" s="2">
        <v>1</v>
      </c>
      <c r="E257" s="2" t="str">
        <f>"2170755711"</f>
        <v>2170755711</v>
      </c>
      <c r="F257" s="2" t="s">
        <v>17</v>
      </c>
      <c r="G257" s="2" t="s">
        <v>18</v>
      </c>
      <c r="H257" s="2" t="s">
        <v>36</v>
      </c>
      <c r="I257" s="2" t="s">
        <v>37</v>
      </c>
      <c r="J257" s="2" t="s">
        <v>55</v>
      </c>
      <c r="K257" s="2" t="s">
        <v>174</v>
      </c>
      <c r="L257" s="3">
        <v>0.40277777777777773</v>
      </c>
      <c r="M257" s="2" t="s">
        <v>305</v>
      </c>
      <c r="N257" s="2" t="s">
        <v>500</v>
      </c>
      <c r="O257" s="2"/>
    </row>
    <row r="258" spans="1:15" x14ac:dyDescent="0.25">
      <c r="A258" s="2" t="s">
        <v>15</v>
      </c>
      <c r="B258" s="2" t="str">
        <f>"FES1162767737"</f>
        <v>FES1162767737</v>
      </c>
      <c r="C258" s="2" t="s">
        <v>22</v>
      </c>
      <c r="D258" s="2">
        <v>1</v>
      </c>
      <c r="E258" s="2" t="str">
        <f>"2170755679"</f>
        <v>2170755679</v>
      </c>
      <c r="F258" s="2" t="s">
        <v>17</v>
      </c>
      <c r="G258" s="2" t="s">
        <v>18</v>
      </c>
      <c r="H258" s="2" t="s">
        <v>33</v>
      </c>
      <c r="I258" s="2" t="s">
        <v>34</v>
      </c>
      <c r="J258" s="2" t="s">
        <v>400</v>
      </c>
      <c r="K258" s="2" t="s">
        <v>174</v>
      </c>
      <c r="L258" s="3">
        <v>0.43333333333333335</v>
      </c>
      <c r="M258" s="2" t="s">
        <v>401</v>
      </c>
      <c r="N258" s="2" t="s">
        <v>500</v>
      </c>
      <c r="O258" s="2"/>
    </row>
    <row r="259" spans="1:15" x14ac:dyDescent="0.25">
      <c r="A259" s="2" t="s">
        <v>15</v>
      </c>
      <c r="B259" s="2" t="str">
        <f>"FES1162767713"</f>
        <v>FES1162767713</v>
      </c>
      <c r="C259" s="2" t="s">
        <v>22</v>
      </c>
      <c r="D259" s="2">
        <v>1</v>
      </c>
      <c r="E259" s="2" t="str">
        <f>"2170755656"</f>
        <v>2170755656</v>
      </c>
      <c r="F259" s="2" t="s">
        <v>17</v>
      </c>
      <c r="G259" s="2" t="s">
        <v>18</v>
      </c>
      <c r="H259" s="2" t="s">
        <v>19</v>
      </c>
      <c r="I259" s="2" t="s">
        <v>20</v>
      </c>
      <c r="J259" s="2" t="s">
        <v>327</v>
      </c>
      <c r="K259" s="2" t="s">
        <v>174</v>
      </c>
      <c r="L259" s="3">
        <v>0.32291666666666669</v>
      </c>
      <c r="M259" s="2" t="s">
        <v>328</v>
      </c>
      <c r="N259" s="2" t="s">
        <v>500</v>
      </c>
      <c r="O259" s="2"/>
    </row>
    <row r="260" spans="1:15" x14ac:dyDescent="0.25">
      <c r="A260" s="2" t="s">
        <v>15</v>
      </c>
      <c r="B260" s="2" t="str">
        <f>"FES1162767785"</f>
        <v>FES1162767785</v>
      </c>
      <c r="C260" s="2" t="s">
        <v>22</v>
      </c>
      <c r="D260" s="2">
        <v>1</v>
      </c>
      <c r="E260" s="2" t="str">
        <f>"2170755735"</f>
        <v>2170755735</v>
      </c>
      <c r="F260" s="2" t="s">
        <v>17</v>
      </c>
      <c r="G260" s="2" t="s">
        <v>18</v>
      </c>
      <c r="H260" s="2" t="s">
        <v>36</v>
      </c>
      <c r="I260" s="2" t="s">
        <v>37</v>
      </c>
      <c r="J260" s="2" t="s">
        <v>102</v>
      </c>
      <c r="K260" s="2" t="s">
        <v>174</v>
      </c>
      <c r="L260" s="3">
        <v>0.375</v>
      </c>
      <c r="M260" s="2" t="s">
        <v>398</v>
      </c>
      <c r="N260" s="2" t="s">
        <v>500</v>
      </c>
      <c r="O260" s="2"/>
    </row>
    <row r="261" spans="1:15" s="4" customFormat="1" x14ac:dyDescent="0.25">
      <c r="A261" s="5" t="s">
        <v>15</v>
      </c>
      <c r="B261" s="5" t="str">
        <f>"FES1162767635"</f>
        <v>FES1162767635</v>
      </c>
      <c r="C261" s="5" t="s">
        <v>22</v>
      </c>
      <c r="D261" s="5">
        <v>1</v>
      </c>
      <c r="E261" s="5" t="str">
        <f>"2170755281"</f>
        <v>2170755281</v>
      </c>
      <c r="F261" s="5" t="s">
        <v>17</v>
      </c>
      <c r="G261" s="5" t="s">
        <v>18</v>
      </c>
      <c r="H261" s="5" t="s">
        <v>78</v>
      </c>
      <c r="I261" s="5" t="s">
        <v>159</v>
      </c>
      <c r="J261" s="5" t="s">
        <v>402</v>
      </c>
      <c r="K261" s="6" t="s">
        <v>698</v>
      </c>
      <c r="L261" s="7">
        <v>0.46458333333333335</v>
      </c>
      <c r="M261" s="8" t="s">
        <v>916</v>
      </c>
      <c r="N261" s="5" t="s">
        <v>500</v>
      </c>
      <c r="O261" s="5"/>
    </row>
    <row r="262" spans="1:15" x14ac:dyDescent="0.25">
      <c r="A262" s="2" t="s">
        <v>15</v>
      </c>
      <c r="B262" s="2" t="str">
        <f>"FES1162767578"</f>
        <v>FES1162767578</v>
      </c>
      <c r="C262" s="2" t="s">
        <v>22</v>
      </c>
      <c r="D262" s="2">
        <v>1</v>
      </c>
      <c r="E262" s="2" t="str">
        <f>"2170751323"</f>
        <v>2170751323</v>
      </c>
      <c r="F262" s="2" t="s">
        <v>17</v>
      </c>
      <c r="G262" s="2" t="s">
        <v>18</v>
      </c>
      <c r="H262" s="2" t="s">
        <v>78</v>
      </c>
      <c r="I262" s="2" t="s">
        <v>79</v>
      </c>
      <c r="J262" s="2" t="s">
        <v>113</v>
      </c>
      <c r="K262" s="2" t="s">
        <v>174</v>
      </c>
      <c r="L262" s="3">
        <v>0.45833333333333331</v>
      </c>
      <c r="M262" s="2" t="s">
        <v>504</v>
      </c>
      <c r="N262" s="2" t="s">
        <v>500</v>
      </c>
      <c r="O262" s="2"/>
    </row>
    <row r="263" spans="1:15" x14ac:dyDescent="0.25">
      <c r="A263" s="2" t="s">
        <v>15</v>
      </c>
      <c r="B263" s="2" t="str">
        <f>"FES1162767768"</f>
        <v>FES1162767768</v>
      </c>
      <c r="C263" s="2" t="s">
        <v>22</v>
      </c>
      <c r="D263" s="2">
        <v>1</v>
      </c>
      <c r="E263" s="2" t="str">
        <f>"2170755737"</f>
        <v>2170755737</v>
      </c>
      <c r="F263" s="2" t="s">
        <v>17</v>
      </c>
      <c r="G263" s="2" t="s">
        <v>18</v>
      </c>
      <c r="H263" s="2" t="s">
        <v>36</v>
      </c>
      <c r="I263" s="2" t="s">
        <v>37</v>
      </c>
      <c r="J263" s="2" t="s">
        <v>403</v>
      </c>
      <c r="K263" s="2" t="s">
        <v>174</v>
      </c>
      <c r="L263" s="3">
        <v>0.56944444444444442</v>
      </c>
      <c r="M263" s="2" t="s">
        <v>404</v>
      </c>
      <c r="N263" s="2" t="s">
        <v>500</v>
      </c>
      <c r="O263" s="2"/>
    </row>
    <row r="264" spans="1:15" x14ac:dyDescent="0.25">
      <c r="A264" s="2" t="s">
        <v>15</v>
      </c>
      <c r="B264" s="2" t="str">
        <f>"FES1162767666"</f>
        <v>FES1162767666</v>
      </c>
      <c r="C264" s="2" t="s">
        <v>22</v>
      </c>
      <c r="D264" s="2">
        <v>1</v>
      </c>
      <c r="E264" s="2" t="str">
        <f>"2170755556"</f>
        <v>2170755556</v>
      </c>
      <c r="F264" s="2" t="s">
        <v>17</v>
      </c>
      <c r="G264" s="2" t="s">
        <v>18</v>
      </c>
      <c r="H264" s="2" t="s">
        <v>19</v>
      </c>
      <c r="I264" s="2" t="s">
        <v>111</v>
      </c>
      <c r="J264" s="2" t="s">
        <v>405</v>
      </c>
      <c r="K264" s="2" t="s">
        <v>174</v>
      </c>
      <c r="L264" s="3">
        <v>0.38055555555555554</v>
      </c>
      <c r="M264" s="2" t="s">
        <v>406</v>
      </c>
      <c r="N264" s="2" t="s">
        <v>500</v>
      </c>
      <c r="O264" s="2"/>
    </row>
    <row r="265" spans="1:15" x14ac:dyDescent="0.25">
      <c r="A265" s="2" t="s">
        <v>15</v>
      </c>
      <c r="B265" s="2" t="str">
        <f>"FES1162767746"</f>
        <v>FES1162767746</v>
      </c>
      <c r="C265" s="2" t="s">
        <v>22</v>
      </c>
      <c r="D265" s="2">
        <v>1</v>
      </c>
      <c r="E265" s="2" t="str">
        <f>"2170755689"</f>
        <v>2170755689</v>
      </c>
      <c r="F265" s="2" t="s">
        <v>17</v>
      </c>
      <c r="G265" s="2" t="s">
        <v>18</v>
      </c>
      <c r="H265" s="2" t="s">
        <v>19</v>
      </c>
      <c r="I265" s="2" t="s">
        <v>111</v>
      </c>
      <c r="J265" s="2" t="s">
        <v>385</v>
      </c>
      <c r="K265" s="2" t="s">
        <v>174</v>
      </c>
      <c r="L265" s="3">
        <v>0.39930555555555558</v>
      </c>
      <c r="M265" s="2" t="s">
        <v>407</v>
      </c>
      <c r="N265" s="2" t="s">
        <v>500</v>
      </c>
      <c r="O265" s="2"/>
    </row>
    <row r="266" spans="1:15" x14ac:dyDescent="0.25">
      <c r="A266" s="2" t="s">
        <v>15</v>
      </c>
      <c r="B266" s="2" t="str">
        <f>"FES1162767762"</f>
        <v>FES1162767762</v>
      </c>
      <c r="C266" s="2" t="s">
        <v>22</v>
      </c>
      <c r="D266" s="2">
        <v>1</v>
      </c>
      <c r="E266" s="2" t="str">
        <f>"2170755722"</f>
        <v>2170755722</v>
      </c>
      <c r="F266" s="2" t="s">
        <v>17</v>
      </c>
      <c r="G266" s="2" t="s">
        <v>18</v>
      </c>
      <c r="H266" s="2" t="s">
        <v>36</v>
      </c>
      <c r="I266" s="2" t="s">
        <v>37</v>
      </c>
      <c r="J266" s="2" t="s">
        <v>102</v>
      </c>
      <c r="K266" s="2" t="s">
        <v>174</v>
      </c>
      <c r="L266" s="3">
        <v>0.43055555555555558</v>
      </c>
      <c r="M266" s="2" t="s">
        <v>398</v>
      </c>
      <c r="N266" s="2" t="s">
        <v>500</v>
      </c>
      <c r="O266" s="2"/>
    </row>
    <row r="267" spans="1:15" x14ac:dyDescent="0.25">
      <c r="A267" s="2" t="s">
        <v>15</v>
      </c>
      <c r="B267" s="2" t="str">
        <f>"FES1162767760"</f>
        <v>FES1162767760</v>
      </c>
      <c r="C267" s="2" t="s">
        <v>22</v>
      </c>
      <c r="D267" s="2">
        <v>1</v>
      </c>
      <c r="E267" s="2" t="str">
        <f>"2170755714"</f>
        <v>2170755714</v>
      </c>
      <c r="F267" s="2" t="s">
        <v>17</v>
      </c>
      <c r="G267" s="2" t="s">
        <v>18</v>
      </c>
      <c r="H267" s="2" t="s">
        <v>36</v>
      </c>
      <c r="I267" s="2" t="s">
        <v>37</v>
      </c>
      <c r="J267" s="2" t="s">
        <v>102</v>
      </c>
      <c r="K267" s="2" t="s">
        <v>174</v>
      </c>
      <c r="L267" s="3">
        <v>0.40277777777777773</v>
      </c>
      <c r="M267" s="2" t="s">
        <v>408</v>
      </c>
      <c r="N267" s="2" t="s">
        <v>500</v>
      </c>
      <c r="O267" s="2"/>
    </row>
    <row r="268" spans="1:15" x14ac:dyDescent="0.25">
      <c r="A268" s="2" t="s">
        <v>15</v>
      </c>
      <c r="B268" s="2" t="str">
        <f>"FES1162767647"</f>
        <v>FES1162767647</v>
      </c>
      <c r="C268" s="2" t="s">
        <v>22</v>
      </c>
      <c r="D268" s="2">
        <v>1</v>
      </c>
      <c r="E268" s="2" t="str">
        <f>"2170755469"</f>
        <v>2170755469</v>
      </c>
      <c r="F268" s="2" t="s">
        <v>17</v>
      </c>
      <c r="G268" s="2" t="s">
        <v>18</v>
      </c>
      <c r="H268" s="2" t="s">
        <v>19</v>
      </c>
      <c r="I268" s="2" t="s">
        <v>111</v>
      </c>
      <c r="J268" s="2" t="s">
        <v>405</v>
      </c>
      <c r="K268" s="2" t="s">
        <v>174</v>
      </c>
      <c r="L268" s="3">
        <v>0.38055555555555554</v>
      </c>
      <c r="M268" s="2" t="s">
        <v>406</v>
      </c>
      <c r="N268" s="2" t="s">
        <v>500</v>
      </c>
      <c r="O268" s="2"/>
    </row>
    <row r="269" spans="1:15" x14ac:dyDescent="0.25">
      <c r="A269" s="2" t="s">
        <v>15</v>
      </c>
      <c r="B269" s="2" t="str">
        <f>"FES1162767652"</f>
        <v>FES1162767652</v>
      </c>
      <c r="C269" s="2" t="s">
        <v>22</v>
      </c>
      <c r="D269" s="2">
        <v>1</v>
      </c>
      <c r="E269" s="2" t="str">
        <f>"2170755490"</f>
        <v>2170755490</v>
      </c>
      <c r="F269" s="2" t="s">
        <v>17</v>
      </c>
      <c r="G269" s="2" t="s">
        <v>18</v>
      </c>
      <c r="H269" s="2" t="s">
        <v>78</v>
      </c>
      <c r="I269" s="2" t="s">
        <v>79</v>
      </c>
      <c r="J269" s="2" t="s">
        <v>409</v>
      </c>
      <c r="K269" s="2" t="s">
        <v>174</v>
      </c>
      <c r="L269" s="3">
        <v>0.43055555555555558</v>
      </c>
      <c r="M269" s="2" t="s">
        <v>507</v>
      </c>
      <c r="N269" s="2" t="s">
        <v>500</v>
      </c>
      <c r="O269" s="2"/>
    </row>
    <row r="270" spans="1:15" x14ac:dyDescent="0.25">
      <c r="A270" s="2" t="s">
        <v>15</v>
      </c>
      <c r="B270" s="2" t="str">
        <f>"FES1162767796"</f>
        <v>FES1162767796</v>
      </c>
      <c r="C270" s="2" t="s">
        <v>22</v>
      </c>
      <c r="D270" s="2">
        <v>1</v>
      </c>
      <c r="E270" s="2" t="str">
        <f>"2170755596"</f>
        <v>2170755596</v>
      </c>
      <c r="F270" s="2" t="s">
        <v>17</v>
      </c>
      <c r="G270" s="2" t="s">
        <v>18</v>
      </c>
      <c r="H270" s="2" t="s">
        <v>36</v>
      </c>
      <c r="I270" s="2" t="s">
        <v>37</v>
      </c>
      <c r="J270" s="2" t="s">
        <v>272</v>
      </c>
      <c r="K270" s="2" t="s">
        <v>174</v>
      </c>
      <c r="L270" s="3">
        <v>0.38194444444444442</v>
      </c>
      <c r="M270" s="2" t="s">
        <v>273</v>
      </c>
      <c r="N270" s="2" t="s">
        <v>500</v>
      </c>
      <c r="O270" s="2"/>
    </row>
    <row r="271" spans="1:15" x14ac:dyDescent="0.25">
      <c r="A271" s="2" t="s">
        <v>15</v>
      </c>
      <c r="B271" s="2" t="str">
        <f>"FES1162767617"</f>
        <v>FES1162767617</v>
      </c>
      <c r="C271" s="2" t="s">
        <v>22</v>
      </c>
      <c r="D271" s="2">
        <v>1</v>
      </c>
      <c r="E271" s="2" t="str">
        <f>"2170754992"</f>
        <v>2170754992</v>
      </c>
      <c r="F271" s="2" t="s">
        <v>17</v>
      </c>
      <c r="G271" s="2" t="s">
        <v>18</v>
      </c>
      <c r="H271" s="2" t="s">
        <v>19</v>
      </c>
      <c r="I271" s="2" t="s">
        <v>20</v>
      </c>
      <c r="J271" s="2" t="s">
        <v>281</v>
      </c>
      <c r="K271" s="2" t="s">
        <v>174</v>
      </c>
      <c r="L271" s="3">
        <v>0.52777777777777779</v>
      </c>
      <c r="M271" s="2" t="s">
        <v>282</v>
      </c>
      <c r="N271" s="2" t="s">
        <v>500</v>
      </c>
      <c r="O271" s="2"/>
    </row>
    <row r="272" spans="1:15" x14ac:dyDescent="0.25">
      <c r="A272" s="2" t="s">
        <v>15</v>
      </c>
      <c r="B272" s="2" t="str">
        <f>"FES1162767769"</f>
        <v>FES1162767769</v>
      </c>
      <c r="C272" s="2" t="s">
        <v>22</v>
      </c>
      <c r="D272" s="2">
        <v>1</v>
      </c>
      <c r="E272" s="2" t="str">
        <f>"2170755738"</f>
        <v>2170755738</v>
      </c>
      <c r="F272" s="2" t="s">
        <v>17</v>
      </c>
      <c r="G272" s="2" t="s">
        <v>18</v>
      </c>
      <c r="H272" s="2" t="s">
        <v>78</v>
      </c>
      <c r="I272" s="2" t="s">
        <v>79</v>
      </c>
      <c r="J272" s="2" t="s">
        <v>113</v>
      </c>
      <c r="K272" s="2" t="s">
        <v>174</v>
      </c>
      <c r="L272" s="3">
        <v>0.45833333333333331</v>
      </c>
      <c r="M272" s="2" t="s">
        <v>504</v>
      </c>
      <c r="N272" s="2" t="s">
        <v>500</v>
      </c>
      <c r="O272" s="2"/>
    </row>
    <row r="273" spans="1:15" x14ac:dyDescent="0.25">
      <c r="A273" s="2" t="s">
        <v>15</v>
      </c>
      <c r="B273" s="2" t="str">
        <f>"FES1162767643"</f>
        <v>FES1162767643</v>
      </c>
      <c r="C273" s="2" t="s">
        <v>22</v>
      </c>
      <c r="D273" s="2">
        <v>1</v>
      </c>
      <c r="E273" s="2" t="str">
        <f>"2170755392"</f>
        <v>2170755392</v>
      </c>
      <c r="F273" s="2" t="s">
        <v>17</v>
      </c>
      <c r="G273" s="2" t="s">
        <v>18</v>
      </c>
      <c r="H273" s="2" t="s">
        <v>78</v>
      </c>
      <c r="I273" s="2" t="s">
        <v>79</v>
      </c>
      <c r="J273" s="2" t="s">
        <v>327</v>
      </c>
      <c r="K273" s="2" t="s">
        <v>174</v>
      </c>
      <c r="L273" s="3">
        <v>0.43055555555555558</v>
      </c>
      <c r="M273" s="2" t="s">
        <v>506</v>
      </c>
      <c r="N273" s="2" t="s">
        <v>500</v>
      </c>
      <c r="O273" s="2"/>
    </row>
    <row r="274" spans="1:15" x14ac:dyDescent="0.25">
      <c r="A274" s="2" t="s">
        <v>15</v>
      </c>
      <c r="B274" s="2" t="str">
        <f>"009939664741"</f>
        <v>009939664741</v>
      </c>
      <c r="C274" s="2" t="s">
        <v>22</v>
      </c>
      <c r="D274" s="2">
        <v>1</v>
      </c>
      <c r="E274" s="2" t="str">
        <f>""</f>
        <v/>
      </c>
      <c r="F274" s="2" t="s">
        <v>205</v>
      </c>
      <c r="G274" s="2" t="s">
        <v>19</v>
      </c>
      <c r="H274" s="2" t="s">
        <v>206</v>
      </c>
      <c r="I274" s="2" t="s">
        <v>46</v>
      </c>
      <c r="J274" s="2" t="s">
        <v>410</v>
      </c>
      <c r="K274" s="2" t="s">
        <v>174</v>
      </c>
      <c r="L274" s="3">
        <v>0.3666666666666667</v>
      </c>
      <c r="M274" s="2" t="s">
        <v>262</v>
      </c>
      <c r="N274" s="2" t="s">
        <v>500</v>
      </c>
      <c r="O274" s="2"/>
    </row>
    <row r="275" spans="1:15" x14ac:dyDescent="0.25">
      <c r="A275" s="2" t="s">
        <v>15</v>
      </c>
      <c r="B275" s="2" t="str">
        <f>"FES1162767791"</f>
        <v>FES1162767791</v>
      </c>
      <c r="C275" s="2" t="s">
        <v>174</v>
      </c>
      <c r="D275" s="2">
        <v>1</v>
      </c>
      <c r="E275" s="2" t="str">
        <f>"2170754315"</f>
        <v>2170754315</v>
      </c>
      <c r="F275" s="2" t="s">
        <v>17</v>
      </c>
      <c r="G275" s="2" t="s">
        <v>18</v>
      </c>
      <c r="H275" s="2" t="s">
        <v>18</v>
      </c>
      <c r="I275" s="2" t="s">
        <v>95</v>
      </c>
      <c r="J275" s="2" t="s">
        <v>96</v>
      </c>
      <c r="K275" s="2" t="s">
        <v>411</v>
      </c>
      <c r="L275" s="3">
        <v>0.43055555555555558</v>
      </c>
      <c r="M275" s="2" t="s">
        <v>508</v>
      </c>
      <c r="N275" s="2" t="s">
        <v>500</v>
      </c>
      <c r="O275" s="2"/>
    </row>
    <row r="276" spans="1:15" x14ac:dyDescent="0.25">
      <c r="A276" s="2" t="s">
        <v>15</v>
      </c>
      <c r="B276" s="2" t="str">
        <f>"FES1162767798"</f>
        <v>FES1162767798</v>
      </c>
      <c r="C276" s="2" t="s">
        <v>174</v>
      </c>
      <c r="D276" s="2">
        <v>1</v>
      </c>
      <c r="E276" s="2" t="str">
        <f>"2170753564"</f>
        <v>2170753564</v>
      </c>
      <c r="F276" s="2" t="s">
        <v>205</v>
      </c>
      <c r="G276" s="2" t="s">
        <v>206</v>
      </c>
      <c r="H276" s="2" t="s">
        <v>36</v>
      </c>
      <c r="I276" s="2" t="s">
        <v>37</v>
      </c>
      <c r="J276" s="2" t="s">
        <v>104</v>
      </c>
      <c r="K276" s="2" t="s">
        <v>510</v>
      </c>
      <c r="L276" s="3">
        <v>0.4201388888888889</v>
      </c>
      <c r="M276" s="2" t="s">
        <v>672</v>
      </c>
      <c r="N276" s="2" t="s">
        <v>500</v>
      </c>
      <c r="O276" s="2"/>
    </row>
    <row r="277" spans="1:15" x14ac:dyDescent="0.25">
      <c r="A277" s="2" t="s">
        <v>15</v>
      </c>
      <c r="B277" s="2" t="str">
        <f>"FES1162767795"</f>
        <v>FES1162767795</v>
      </c>
      <c r="C277" s="2" t="s">
        <v>174</v>
      </c>
      <c r="D277" s="2">
        <v>1</v>
      </c>
      <c r="E277" s="2" t="str">
        <f>"2170755491"</f>
        <v>2170755491</v>
      </c>
      <c r="F277" s="2" t="s">
        <v>17</v>
      </c>
      <c r="G277" s="2" t="s">
        <v>18</v>
      </c>
      <c r="H277" s="2" t="s">
        <v>36</v>
      </c>
      <c r="I277" s="2" t="s">
        <v>37</v>
      </c>
      <c r="J277" s="2" t="s">
        <v>54</v>
      </c>
      <c r="K277" s="2" t="s">
        <v>411</v>
      </c>
      <c r="L277" s="3">
        <v>0.39027777777777778</v>
      </c>
      <c r="M277" s="2" t="s">
        <v>509</v>
      </c>
      <c r="N277" s="2" t="s">
        <v>500</v>
      </c>
      <c r="O277" s="2"/>
    </row>
    <row r="278" spans="1:15" x14ac:dyDescent="0.25">
      <c r="A278" s="2" t="s">
        <v>15</v>
      </c>
      <c r="B278" s="2" t="str">
        <f>"FES1162767755"</f>
        <v>FES1162767755</v>
      </c>
      <c r="C278" s="2" t="s">
        <v>174</v>
      </c>
      <c r="D278" s="2">
        <v>1</v>
      </c>
      <c r="E278" s="2" t="str">
        <f>"2170755709"</f>
        <v>2170755709</v>
      </c>
      <c r="F278" s="2" t="s">
        <v>17</v>
      </c>
      <c r="G278" s="2" t="s">
        <v>18</v>
      </c>
      <c r="H278" s="2" t="s">
        <v>25</v>
      </c>
      <c r="I278" s="2" t="s">
        <v>345</v>
      </c>
      <c r="J278" s="2" t="s">
        <v>412</v>
      </c>
      <c r="K278" s="2" t="s">
        <v>510</v>
      </c>
      <c r="L278" s="3">
        <v>0.32222222222222224</v>
      </c>
      <c r="M278" s="2" t="s">
        <v>511</v>
      </c>
      <c r="N278" s="2" t="s">
        <v>500</v>
      </c>
      <c r="O278" s="2"/>
    </row>
    <row r="279" spans="1:15" x14ac:dyDescent="0.25">
      <c r="A279" s="2" t="s">
        <v>15</v>
      </c>
      <c r="B279" s="2" t="str">
        <f>"FES1162767776"</f>
        <v>FES1162767776</v>
      </c>
      <c r="C279" s="2" t="s">
        <v>174</v>
      </c>
      <c r="D279" s="2">
        <v>1</v>
      </c>
      <c r="E279" s="2" t="str">
        <f>"2170755746"</f>
        <v>2170755746</v>
      </c>
      <c r="F279" s="2" t="s">
        <v>17</v>
      </c>
      <c r="G279" s="2" t="s">
        <v>18</v>
      </c>
      <c r="H279" s="2" t="s">
        <v>19</v>
      </c>
      <c r="I279" s="2" t="s">
        <v>20</v>
      </c>
      <c r="J279" s="2" t="s">
        <v>413</v>
      </c>
      <c r="K279" s="2" t="s">
        <v>411</v>
      </c>
      <c r="L279" s="3">
        <v>0.40972222222222227</v>
      </c>
      <c r="M279" s="2" t="s">
        <v>512</v>
      </c>
      <c r="N279" s="2" t="s">
        <v>500</v>
      </c>
      <c r="O279" s="2"/>
    </row>
    <row r="280" spans="1:15" x14ac:dyDescent="0.25">
      <c r="A280" s="2" t="s">
        <v>15</v>
      </c>
      <c r="B280" s="2" t="str">
        <f>"FES1162767775"</f>
        <v>FES1162767775</v>
      </c>
      <c r="C280" s="2" t="s">
        <v>174</v>
      </c>
      <c r="D280" s="2">
        <v>1</v>
      </c>
      <c r="E280" s="2" t="str">
        <f>"2170755745"</f>
        <v>2170755745</v>
      </c>
      <c r="F280" s="2" t="s">
        <v>17</v>
      </c>
      <c r="G280" s="2" t="s">
        <v>18</v>
      </c>
      <c r="H280" s="2" t="s">
        <v>88</v>
      </c>
      <c r="I280" s="2" t="s">
        <v>109</v>
      </c>
      <c r="J280" s="2" t="s">
        <v>141</v>
      </c>
      <c r="K280" s="2" t="s">
        <v>411</v>
      </c>
      <c r="L280" s="3">
        <v>0.41666666666666669</v>
      </c>
      <c r="M280" s="2" t="s">
        <v>513</v>
      </c>
      <c r="N280" s="2" t="s">
        <v>500</v>
      </c>
      <c r="O280" s="2"/>
    </row>
    <row r="281" spans="1:15" x14ac:dyDescent="0.25">
      <c r="A281" s="2" t="s">
        <v>15</v>
      </c>
      <c r="B281" s="2" t="str">
        <f>"FES1162767742"</f>
        <v>FES1162767742</v>
      </c>
      <c r="C281" s="2" t="s">
        <v>174</v>
      </c>
      <c r="D281" s="2">
        <v>1</v>
      </c>
      <c r="E281" s="2" t="str">
        <f>"2170755684"</f>
        <v>2170755684</v>
      </c>
      <c r="F281" s="2" t="s">
        <v>17</v>
      </c>
      <c r="G281" s="2" t="s">
        <v>18</v>
      </c>
      <c r="H281" s="2" t="s">
        <v>18</v>
      </c>
      <c r="I281" s="2" t="s">
        <v>63</v>
      </c>
      <c r="J281" s="2" t="s">
        <v>414</v>
      </c>
      <c r="K281" s="2" t="s">
        <v>411</v>
      </c>
      <c r="L281" s="3">
        <v>0.4375</v>
      </c>
      <c r="M281" s="2" t="s">
        <v>514</v>
      </c>
      <c r="N281" s="2" t="s">
        <v>500</v>
      </c>
      <c r="O281" s="2"/>
    </row>
    <row r="282" spans="1:15" x14ac:dyDescent="0.25">
      <c r="A282" s="2" t="s">
        <v>15</v>
      </c>
      <c r="B282" s="2" t="str">
        <f>"FES1162767708"</f>
        <v>FES1162767708</v>
      </c>
      <c r="C282" s="2" t="s">
        <v>174</v>
      </c>
      <c r="D282" s="2">
        <v>1</v>
      </c>
      <c r="E282" s="2" t="str">
        <f>"2170754709"</f>
        <v>2170754709</v>
      </c>
      <c r="F282" s="2" t="s">
        <v>17</v>
      </c>
      <c r="G282" s="2" t="s">
        <v>18</v>
      </c>
      <c r="H282" s="2" t="s">
        <v>18</v>
      </c>
      <c r="I282" s="2" t="s">
        <v>57</v>
      </c>
      <c r="J282" s="2" t="s">
        <v>415</v>
      </c>
      <c r="K282" s="2" t="s">
        <v>411</v>
      </c>
      <c r="L282" s="3">
        <v>0.45833333333333331</v>
      </c>
      <c r="M282" s="2" t="s">
        <v>515</v>
      </c>
      <c r="N282" s="2" t="s">
        <v>500</v>
      </c>
      <c r="O282" s="2"/>
    </row>
    <row r="283" spans="1:15" x14ac:dyDescent="0.25">
      <c r="A283" s="2" t="s">
        <v>15</v>
      </c>
      <c r="B283" s="2" t="str">
        <f>"FES1162767812"</f>
        <v>FES1162767812</v>
      </c>
      <c r="C283" s="2" t="s">
        <v>174</v>
      </c>
      <c r="D283" s="2">
        <v>1</v>
      </c>
      <c r="E283" s="2" t="str">
        <f>"2170755491"</f>
        <v>2170755491</v>
      </c>
      <c r="F283" s="2" t="s">
        <v>17</v>
      </c>
      <c r="G283" s="2" t="s">
        <v>18</v>
      </c>
      <c r="H283" s="2" t="s">
        <v>36</v>
      </c>
      <c r="I283" s="2" t="s">
        <v>37</v>
      </c>
      <c r="J283" s="2" t="s">
        <v>54</v>
      </c>
      <c r="K283" s="2" t="s">
        <v>411</v>
      </c>
      <c r="L283" s="3">
        <v>0.39097222222222222</v>
      </c>
      <c r="M283" s="2" t="s">
        <v>516</v>
      </c>
      <c r="N283" s="2" t="s">
        <v>500</v>
      </c>
      <c r="O283" s="2"/>
    </row>
    <row r="284" spans="1:15" x14ac:dyDescent="0.25">
      <c r="A284" s="2" t="s">
        <v>15</v>
      </c>
      <c r="B284" s="2" t="str">
        <f>"FES1162767789"</f>
        <v>FES1162767789</v>
      </c>
      <c r="C284" s="2" t="s">
        <v>174</v>
      </c>
      <c r="D284" s="2">
        <v>1</v>
      </c>
      <c r="E284" s="2" t="str">
        <f>"2170755763"</f>
        <v>2170755763</v>
      </c>
      <c r="F284" s="2" t="s">
        <v>17</v>
      </c>
      <c r="G284" s="2" t="s">
        <v>18</v>
      </c>
      <c r="H284" s="2" t="s">
        <v>25</v>
      </c>
      <c r="I284" s="2" t="s">
        <v>42</v>
      </c>
      <c r="J284" s="2" t="s">
        <v>416</v>
      </c>
      <c r="K284" s="2" t="s">
        <v>411</v>
      </c>
      <c r="L284" s="3">
        <v>0.54027777777777775</v>
      </c>
      <c r="M284" s="2" t="s">
        <v>517</v>
      </c>
      <c r="N284" s="2" t="s">
        <v>500</v>
      </c>
      <c r="O284" s="2"/>
    </row>
    <row r="285" spans="1:15" x14ac:dyDescent="0.25">
      <c r="A285" s="2" t="s">
        <v>15</v>
      </c>
      <c r="B285" s="2" t="str">
        <f>"FES1162767585"</f>
        <v>FES1162767585</v>
      </c>
      <c r="C285" s="2" t="s">
        <v>174</v>
      </c>
      <c r="D285" s="2">
        <v>1</v>
      </c>
      <c r="E285" s="2" t="str">
        <f>"2170753122"</f>
        <v>2170753122</v>
      </c>
      <c r="F285" s="2" t="s">
        <v>17</v>
      </c>
      <c r="G285" s="2" t="s">
        <v>18</v>
      </c>
      <c r="H285" s="2" t="s">
        <v>25</v>
      </c>
      <c r="I285" s="2" t="s">
        <v>26</v>
      </c>
      <c r="J285" s="2" t="s">
        <v>75</v>
      </c>
      <c r="K285" s="2" t="s">
        <v>411</v>
      </c>
      <c r="L285" s="3">
        <v>0.3520833333333333</v>
      </c>
      <c r="M285" s="2" t="s">
        <v>518</v>
      </c>
      <c r="N285" s="2" t="s">
        <v>500</v>
      </c>
      <c r="O285" s="2"/>
    </row>
    <row r="286" spans="1:15" x14ac:dyDescent="0.25">
      <c r="A286" s="2" t="s">
        <v>15</v>
      </c>
      <c r="B286" s="2" t="str">
        <f>"FES1162767583"</f>
        <v>FES1162767583</v>
      </c>
      <c r="C286" s="2" t="s">
        <v>174</v>
      </c>
      <c r="D286" s="2">
        <v>1</v>
      </c>
      <c r="E286" s="2" t="str">
        <f>"2170752785"</f>
        <v>2170752785</v>
      </c>
      <c r="F286" s="2" t="s">
        <v>17</v>
      </c>
      <c r="G286" s="2" t="s">
        <v>18</v>
      </c>
      <c r="H286" s="2" t="s">
        <v>25</v>
      </c>
      <c r="I286" s="2" t="s">
        <v>26</v>
      </c>
      <c r="J286" s="2" t="s">
        <v>417</v>
      </c>
      <c r="K286" s="2" t="s">
        <v>411</v>
      </c>
      <c r="L286" s="3">
        <v>0.4375</v>
      </c>
      <c r="M286" s="2" t="s">
        <v>519</v>
      </c>
      <c r="N286" s="2" t="s">
        <v>500</v>
      </c>
      <c r="O286" s="2"/>
    </row>
    <row r="287" spans="1:15" x14ac:dyDescent="0.25">
      <c r="A287" s="2" t="s">
        <v>15</v>
      </c>
      <c r="B287" s="2" t="str">
        <f>"FES1162767661"</f>
        <v>FES1162767661</v>
      </c>
      <c r="C287" s="2" t="s">
        <v>174</v>
      </c>
      <c r="D287" s="2">
        <v>1</v>
      </c>
      <c r="E287" s="2" t="str">
        <f>"3170755542"</f>
        <v>3170755542</v>
      </c>
      <c r="F287" s="2" t="s">
        <v>17</v>
      </c>
      <c r="G287" s="2" t="s">
        <v>18</v>
      </c>
      <c r="H287" s="2" t="s">
        <v>25</v>
      </c>
      <c r="I287" s="2" t="s">
        <v>26</v>
      </c>
      <c r="J287" s="2" t="s">
        <v>418</v>
      </c>
      <c r="K287" s="2" t="s">
        <v>411</v>
      </c>
      <c r="L287" s="3">
        <v>0.41666666666666669</v>
      </c>
      <c r="M287" s="2" t="s">
        <v>520</v>
      </c>
      <c r="N287" s="2" t="s">
        <v>500</v>
      </c>
      <c r="O287" s="2"/>
    </row>
    <row r="288" spans="1:15" x14ac:dyDescent="0.25">
      <c r="A288" s="2" t="s">
        <v>15</v>
      </c>
      <c r="B288" s="2" t="str">
        <f>"FES1162767794"</f>
        <v>FES1162767794</v>
      </c>
      <c r="C288" s="2" t="s">
        <v>174</v>
      </c>
      <c r="D288" s="2">
        <v>1</v>
      </c>
      <c r="E288" s="2" t="str">
        <f>"2170755471"</f>
        <v>2170755471</v>
      </c>
      <c r="F288" s="2" t="s">
        <v>17</v>
      </c>
      <c r="G288" s="2" t="s">
        <v>18</v>
      </c>
      <c r="H288" s="2" t="s">
        <v>25</v>
      </c>
      <c r="I288" s="2" t="s">
        <v>26</v>
      </c>
      <c r="J288" s="2" t="s">
        <v>387</v>
      </c>
      <c r="K288" s="2" t="s">
        <v>411</v>
      </c>
      <c r="L288" s="3">
        <v>0.41388888888888892</v>
      </c>
      <c r="M288" s="2" t="s">
        <v>388</v>
      </c>
      <c r="N288" s="2" t="s">
        <v>500</v>
      </c>
      <c r="O288" s="2"/>
    </row>
    <row r="289" spans="1:15" x14ac:dyDescent="0.25">
      <c r="A289" s="2" t="s">
        <v>15</v>
      </c>
      <c r="B289" s="2" t="str">
        <f>"FES1162767729"</f>
        <v>FES1162767729</v>
      </c>
      <c r="C289" s="2" t="s">
        <v>174</v>
      </c>
      <c r="D289" s="2">
        <v>1</v>
      </c>
      <c r="E289" s="2" t="str">
        <f>"2170755671"</f>
        <v>2170755671</v>
      </c>
      <c r="F289" s="2" t="s">
        <v>17</v>
      </c>
      <c r="G289" s="2" t="s">
        <v>18</v>
      </c>
      <c r="H289" s="2" t="s">
        <v>25</v>
      </c>
      <c r="I289" s="2" t="s">
        <v>26</v>
      </c>
      <c r="J289" s="2" t="s">
        <v>27</v>
      </c>
      <c r="K289" s="2" t="s">
        <v>411</v>
      </c>
      <c r="L289" s="3">
        <v>0.36805555555555558</v>
      </c>
      <c r="M289" s="2" t="s">
        <v>521</v>
      </c>
      <c r="N289" s="2" t="s">
        <v>500</v>
      </c>
      <c r="O289" s="2"/>
    </row>
    <row r="290" spans="1:15" x14ac:dyDescent="0.25">
      <c r="A290" s="2" t="s">
        <v>15</v>
      </c>
      <c r="B290" s="2" t="str">
        <f>"FES1162767765"</f>
        <v>FES1162767765</v>
      </c>
      <c r="C290" s="2" t="s">
        <v>174</v>
      </c>
      <c r="D290" s="2">
        <v>1</v>
      </c>
      <c r="E290" s="2" t="str">
        <f>"2170755731"</f>
        <v>2170755731</v>
      </c>
      <c r="F290" s="2" t="s">
        <v>17</v>
      </c>
      <c r="G290" s="2" t="s">
        <v>18</v>
      </c>
      <c r="H290" s="2" t="s">
        <v>25</v>
      </c>
      <c r="I290" s="2" t="s">
        <v>26</v>
      </c>
      <c r="J290" s="2" t="s">
        <v>27</v>
      </c>
      <c r="K290" s="2" t="s">
        <v>411</v>
      </c>
      <c r="L290" s="3">
        <v>0.36874999999999997</v>
      </c>
      <c r="M290" s="2" t="s">
        <v>521</v>
      </c>
      <c r="N290" s="2" t="s">
        <v>500</v>
      </c>
      <c r="O290" s="2"/>
    </row>
    <row r="291" spans="1:15" x14ac:dyDescent="0.25">
      <c r="A291" s="2" t="s">
        <v>15</v>
      </c>
      <c r="B291" s="2" t="str">
        <f>"FES1162767748"</f>
        <v>FES1162767748</v>
      </c>
      <c r="C291" s="2" t="s">
        <v>174</v>
      </c>
      <c r="D291" s="2">
        <v>1</v>
      </c>
      <c r="E291" s="2" t="str">
        <f>"2170755515"</f>
        <v>2170755515</v>
      </c>
      <c r="F291" s="2" t="s">
        <v>17</v>
      </c>
      <c r="G291" s="2" t="s">
        <v>18</v>
      </c>
      <c r="H291" s="2" t="s">
        <v>18</v>
      </c>
      <c r="I291" s="2" t="s">
        <v>63</v>
      </c>
      <c r="J291" s="2" t="s">
        <v>419</v>
      </c>
      <c r="K291" s="2" t="s">
        <v>411</v>
      </c>
      <c r="L291" s="3">
        <v>0.3833333333333333</v>
      </c>
      <c r="M291" s="2" t="s">
        <v>522</v>
      </c>
      <c r="N291" s="2" t="s">
        <v>500</v>
      </c>
      <c r="O291" s="2"/>
    </row>
    <row r="292" spans="1:15" x14ac:dyDescent="0.25">
      <c r="A292" s="2" t="s">
        <v>15</v>
      </c>
      <c r="B292" s="2" t="str">
        <f>"FES1162767718"</f>
        <v>FES1162767718</v>
      </c>
      <c r="C292" s="2" t="s">
        <v>174</v>
      </c>
      <c r="D292" s="2">
        <v>1</v>
      </c>
      <c r="E292" s="2" t="str">
        <f>"2170755661"</f>
        <v>2170755661</v>
      </c>
      <c r="F292" s="2" t="s">
        <v>17</v>
      </c>
      <c r="G292" s="2" t="s">
        <v>18</v>
      </c>
      <c r="H292" s="2" t="s">
        <v>18</v>
      </c>
      <c r="I292" s="2" t="s">
        <v>290</v>
      </c>
      <c r="J292" s="2" t="s">
        <v>420</v>
      </c>
      <c r="K292" s="2" t="s">
        <v>411</v>
      </c>
      <c r="L292" s="3">
        <v>0.57152777777777775</v>
      </c>
      <c r="M292" s="2" t="s">
        <v>523</v>
      </c>
      <c r="N292" s="2" t="s">
        <v>500</v>
      </c>
      <c r="O292" s="2"/>
    </row>
    <row r="293" spans="1:15" x14ac:dyDescent="0.25">
      <c r="A293" s="2" t="s">
        <v>15</v>
      </c>
      <c r="B293" s="2" t="str">
        <f>"FES1162767731"</f>
        <v>FES1162767731</v>
      </c>
      <c r="C293" s="2" t="s">
        <v>174</v>
      </c>
      <c r="D293" s="2">
        <v>1</v>
      </c>
      <c r="E293" s="2" t="str">
        <f>"2170755367"</f>
        <v>2170755367</v>
      </c>
      <c r="F293" s="2" t="s">
        <v>17</v>
      </c>
      <c r="G293" s="2" t="s">
        <v>18</v>
      </c>
      <c r="H293" s="2" t="s">
        <v>88</v>
      </c>
      <c r="I293" s="2" t="s">
        <v>109</v>
      </c>
      <c r="J293" s="2" t="s">
        <v>395</v>
      </c>
      <c r="K293" s="2" t="s">
        <v>411</v>
      </c>
      <c r="L293" s="3">
        <v>0.43055555555555558</v>
      </c>
      <c r="M293" s="2" t="s">
        <v>524</v>
      </c>
      <c r="N293" s="2" t="s">
        <v>500</v>
      </c>
      <c r="O293" s="2"/>
    </row>
    <row r="294" spans="1:15" x14ac:dyDescent="0.25">
      <c r="A294" s="2" t="s">
        <v>15</v>
      </c>
      <c r="B294" s="2" t="str">
        <f>"FES1162767774"</f>
        <v>FES1162767774</v>
      </c>
      <c r="C294" s="2" t="s">
        <v>174</v>
      </c>
      <c r="D294" s="2">
        <v>1</v>
      </c>
      <c r="E294" s="2" t="str">
        <f>"2170755743"</f>
        <v>2170755743</v>
      </c>
      <c r="F294" s="2" t="s">
        <v>17</v>
      </c>
      <c r="G294" s="2" t="s">
        <v>18</v>
      </c>
      <c r="H294" s="2" t="s">
        <v>18</v>
      </c>
      <c r="I294" s="2" t="s">
        <v>63</v>
      </c>
      <c r="J294" s="2" t="s">
        <v>421</v>
      </c>
      <c r="K294" s="2" t="s">
        <v>411</v>
      </c>
      <c r="L294" s="3">
        <v>0.34652777777777777</v>
      </c>
      <c r="M294" s="2" t="s">
        <v>525</v>
      </c>
      <c r="N294" s="2" t="s">
        <v>500</v>
      </c>
      <c r="O294" s="2"/>
    </row>
    <row r="295" spans="1:15" x14ac:dyDescent="0.25">
      <c r="A295" s="2" t="s">
        <v>15</v>
      </c>
      <c r="B295" s="2" t="str">
        <f>"FES1162767771"</f>
        <v>FES1162767771</v>
      </c>
      <c r="C295" s="2" t="s">
        <v>174</v>
      </c>
      <c r="D295" s="2">
        <v>1</v>
      </c>
      <c r="E295" s="2" t="str">
        <f>"2170755740"</f>
        <v>2170755740</v>
      </c>
      <c r="F295" s="2" t="s">
        <v>17</v>
      </c>
      <c r="G295" s="2" t="s">
        <v>18</v>
      </c>
      <c r="H295" s="2" t="s">
        <v>25</v>
      </c>
      <c r="I295" s="2" t="s">
        <v>26</v>
      </c>
      <c r="J295" s="2" t="s">
        <v>353</v>
      </c>
      <c r="K295" s="2" t="s">
        <v>411</v>
      </c>
      <c r="L295" s="3">
        <v>0.41666666666666669</v>
      </c>
      <c r="M295" s="2" t="s">
        <v>526</v>
      </c>
      <c r="N295" s="2" t="s">
        <v>500</v>
      </c>
      <c r="O295" s="2"/>
    </row>
    <row r="296" spans="1:15" x14ac:dyDescent="0.25">
      <c r="A296" s="2" t="s">
        <v>15</v>
      </c>
      <c r="B296" s="2" t="str">
        <f>"FES1162767786"</f>
        <v>FES1162767786</v>
      </c>
      <c r="C296" s="2" t="s">
        <v>174</v>
      </c>
      <c r="D296" s="2">
        <v>1</v>
      </c>
      <c r="E296" s="2" t="str">
        <f>"2170755754"</f>
        <v>2170755754</v>
      </c>
      <c r="F296" s="2" t="s">
        <v>17</v>
      </c>
      <c r="G296" s="2" t="s">
        <v>18</v>
      </c>
      <c r="H296" s="2" t="s">
        <v>25</v>
      </c>
      <c r="I296" s="2" t="s">
        <v>26</v>
      </c>
      <c r="J296" s="2" t="s">
        <v>422</v>
      </c>
      <c r="K296" s="2" t="s">
        <v>411</v>
      </c>
      <c r="L296" s="3">
        <v>0.38472222222222219</v>
      </c>
      <c r="M296" s="2" t="s">
        <v>527</v>
      </c>
      <c r="N296" s="2" t="s">
        <v>500</v>
      </c>
      <c r="O296" s="2"/>
    </row>
    <row r="297" spans="1:15" x14ac:dyDescent="0.25">
      <c r="A297" s="2" t="s">
        <v>15</v>
      </c>
      <c r="B297" s="2" t="str">
        <f>"FES1162767787"</f>
        <v>FES1162767787</v>
      </c>
      <c r="C297" s="2" t="s">
        <v>174</v>
      </c>
      <c r="D297" s="2">
        <v>1</v>
      </c>
      <c r="E297" s="2" t="str">
        <f>"2170755757"</f>
        <v>2170755757</v>
      </c>
      <c r="F297" s="2" t="s">
        <v>17</v>
      </c>
      <c r="G297" s="2" t="s">
        <v>18</v>
      </c>
      <c r="H297" s="2" t="s">
        <v>25</v>
      </c>
      <c r="I297" s="2" t="s">
        <v>26</v>
      </c>
      <c r="J297" s="2" t="s">
        <v>75</v>
      </c>
      <c r="K297" s="2" t="s">
        <v>411</v>
      </c>
      <c r="L297" s="3">
        <v>0.3520833333333333</v>
      </c>
      <c r="M297" s="2" t="s">
        <v>518</v>
      </c>
      <c r="N297" s="2" t="s">
        <v>500</v>
      </c>
      <c r="O297" s="2"/>
    </row>
    <row r="298" spans="1:15" x14ac:dyDescent="0.25">
      <c r="A298" s="2" t="s">
        <v>15</v>
      </c>
      <c r="B298" s="2" t="str">
        <f>"FES1162767767"</f>
        <v>FES1162767767</v>
      </c>
      <c r="C298" s="2" t="s">
        <v>174</v>
      </c>
      <c r="D298" s="2">
        <v>1</v>
      </c>
      <c r="E298" s="2" t="str">
        <f>"21707555733"</f>
        <v>21707555733</v>
      </c>
      <c r="F298" s="2" t="s">
        <v>17</v>
      </c>
      <c r="G298" s="2" t="s">
        <v>18</v>
      </c>
      <c r="H298" s="2" t="s">
        <v>18</v>
      </c>
      <c r="I298" s="2" t="s">
        <v>46</v>
      </c>
      <c r="J298" s="2" t="s">
        <v>423</v>
      </c>
      <c r="K298" s="2" t="s">
        <v>411</v>
      </c>
      <c r="L298" s="3">
        <v>0.375</v>
      </c>
      <c r="M298" s="2" t="s">
        <v>528</v>
      </c>
      <c r="N298" s="2" t="s">
        <v>500</v>
      </c>
      <c r="O298" s="2"/>
    </row>
    <row r="299" spans="1:15" x14ac:dyDescent="0.25">
      <c r="A299" s="2" t="s">
        <v>15</v>
      </c>
      <c r="B299" s="2" t="str">
        <f>"FES1162767721"</f>
        <v>FES1162767721</v>
      </c>
      <c r="C299" s="2" t="s">
        <v>174</v>
      </c>
      <c r="D299" s="2">
        <v>1</v>
      </c>
      <c r="E299" s="2" t="str">
        <f>"2170755665"</f>
        <v>2170755665</v>
      </c>
      <c r="F299" s="2" t="s">
        <v>17</v>
      </c>
      <c r="G299" s="2" t="s">
        <v>18</v>
      </c>
      <c r="H299" s="2" t="s">
        <v>19</v>
      </c>
      <c r="I299" s="2" t="s">
        <v>20</v>
      </c>
      <c r="J299" s="2" t="s">
        <v>327</v>
      </c>
      <c r="K299" s="2" t="s">
        <v>411</v>
      </c>
      <c r="L299" s="3">
        <v>0.35833333333333334</v>
      </c>
      <c r="M299" s="2" t="s">
        <v>529</v>
      </c>
      <c r="N299" s="2" t="s">
        <v>500</v>
      </c>
      <c r="O299" s="2"/>
    </row>
    <row r="300" spans="1:15" x14ac:dyDescent="0.25">
      <c r="A300" s="2" t="s">
        <v>15</v>
      </c>
      <c r="B300" s="2" t="str">
        <f>"FES1162767783"</f>
        <v>FES1162767783</v>
      </c>
      <c r="C300" s="2" t="s">
        <v>174</v>
      </c>
      <c r="D300" s="2">
        <v>1</v>
      </c>
      <c r="E300" s="2" t="str">
        <f>"2170755752"</f>
        <v>2170755752</v>
      </c>
      <c r="F300" s="2" t="s">
        <v>17</v>
      </c>
      <c r="G300" s="2" t="s">
        <v>18</v>
      </c>
      <c r="H300" s="2" t="s">
        <v>88</v>
      </c>
      <c r="I300" s="2" t="s">
        <v>109</v>
      </c>
      <c r="J300" s="2" t="s">
        <v>155</v>
      </c>
      <c r="K300" s="2" t="s">
        <v>411</v>
      </c>
      <c r="L300" s="3">
        <v>0.40902777777777777</v>
      </c>
      <c r="M300" s="2" t="s">
        <v>251</v>
      </c>
      <c r="N300" s="2" t="s">
        <v>500</v>
      </c>
      <c r="O300" s="2"/>
    </row>
    <row r="301" spans="1:15" x14ac:dyDescent="0.25">
      <c r="A301" s="2" t="s">
        <v>15</v>
      </c>
      <c r="B301" s="2" t="str">
        <f>"FES1162767751"</f>
        <v>FES1162767751</v>
      </c>
      <c r="C301" s="2" t="s">
        <v>174</v>
      </c>
      <c r="D301" s="2">
        <v>1</v>
      </c>
      <c r="E301" s="2" t="str">
        <f>"2170755703"</f>
        <v>2170755703</v>
      </c>
      <c r="F301" s="2" t="s">
        <v>17</v>
      </c>
      <c r="G301" s="2" t="s">
        <v>18</v>
      </c>
      <c r="H301" s="2" t="s">
        <v>18</v>
      </c>
      <c r="I301" s="2" t="s">
        <v>57</v>
      </c>
      <c r="J301" s="2" t="s">
        <v>298</v>
      </c>
      <c r="K301" s="2" t="s">
        <v>411</v>
      </c>
      <c r="L301" s="3">
        <v>0.33333333333333331</v>
      </c>
      <c r="M301" s="2" t="s">
        <v>530</v>
      </c>
      <c r="N301" s="2" t="s">
        <v>500</v>
      </c>
      <c r="O301" s="2"/>
    </row>
    <row r="302" spans="1:15" x14ac:dyDescent="0.25">
      <c r="A302" s="2" t="s">
        <v>15</v>
      </c>
      <c r="B302" s="2" t="str">
        <f>"FES1162767782"</f>
        <v>FES1162767782</v>
      </c>
      <c r="C302" s="2" t="s">
        <v>174</v>
      </c>
      <c r="D302" s="2">
        <v>1</v>
      </c>
      <c r="E302" s="2" t="str">
        <f>"2170755751"</f>
        <v>2170755751</v>
      </c>
      <c r="F302" s="2" t="s">
        <v>17</v>
      </c>
      <c r="G302" s="2" t="s">
        <v>18</v>
      </c>
      <c r="H302" s="2" t="s">
        <v>25</v>
      </c>
      <c r="I302" s="2" t="s">
        <v>26</v>
      </c>
      <c r="J302" s="2" t="s">
        <v>424</v>
      </c>
      <c r="K302" s="2" t="s">
        <v>411</v>
      </c>
      <c r="L302" s="3">
        <v>0.33194444444444443</v>
      </c>
      <c r="M302" s="2" t="s">
        <v>425</v>
      </c>
      <c r="N302" s="2" t="s">
        <v>500</v>
      </c>
      <c r="O302" s="2"/>
    </row>
    <row r="303" spans="1:15" x14ac:dyDescent="0.25">
      <c r="A303" s="2" t="s">
        <v>15</v>
      </c>
      <c r="B303" s="2" t="str">
        <f>"FES1162767711"</f>
        <v>FES1162767711</v>
      </c>
      <c r="C303" s="2" t="s">
        <v>174</v>
      </c>
      <c r="D303" s="2">
        <v>1</v>
      </c>
      <c r="E303" s="2" t="str">
        <f>"2170753107"</f>
        <v>2170753107</v>
      </c>
      <c r="F303" s="2" t="s">
        <v>17</v>
      </c>
      <c r="G303" s="2" t="s">
        <v>18</v>
      </c>
      <c r="H303" s="2" t="s">
        <v>18</v>
      </c>
      <c r="I303" s="2" t="s">
        <v>46</v>
      </c>
      <c r="J303" s="2" t="s">
        <v>426</v>
      </c>
      <c r="K303" s="2" t="s">
        <v>411</v>
      </c>
      <c r="L303" s="3">
        <v>0.39166666666666666</v>
      </c>
      <c r="M303" s="2" t="s">
        <v>531</v>
      </c>
      <c r="N303" s="2" t="s">
        <v>500</v>
      </c>
      <c r="O303" s="2"/>
    </row>
    <row r="304" spans="1:15" x14ac:dyDescent="0.25">
      <c r="A304" s="2" t="s">
        <v>15</v>
      </c>
      <c r="B304" s="2" t="str">
        <f>"FES1162767736"</f>
        <v>FES1162767736</v>
      </c>
      <c r="C304" s="2" t="s">
        <v>174</v>
      </c>
      <c r="D304" s="2">
        <v>1</v>
      </c>
      <c r="E304" s="2" t="str">
        <f>"2170755678"</f>
        <v>2170755678</v>
      </c>
      <c r="F304" s="2" t="s">
        <v>17</v>
      </c>
      <c r="G304" s="2" t="s">
        <v>18</v>
      </c>
      <c r="H304" s="2" t="s">
        <v>25</v>
      </c>
      <c r="I304" s="2" t="s">
        <v>26</v>
      </c>
      <c r="J304" s="2" t="s">
        <v>427</v>
      </c>
      <c r="K304" s="2" t="s">
        <v>411</v>
      </c>
      <c r="L304" s="3">
        <v>0.42986111111111108</v>
      </c>
      <c r="M304" s="2" t="s">
        <v>532</v>
      </c>
      <c r="N304" s="2" t="s">
        <v>500</v>
      </c>
      <c r="O304" s="2"/>
    </row>
    <row r="305" spans="1:15" x14ac:dyDescent="0.25">
      <c r="A305" s="2" t="s">
        <v>15</v>
      </c>
      <c r="B305" s="2" t="str">
        <f>"FES1162767749"</f>
        <v>FES1162767749</v>
      </c>
      <c r="C305" s="2" t="s">
        <v>174</v>
      </c>
      <c r="D305" s="2">
        <v>1</v>
      </c>
      <c r="E305" s="2" t="str">
        <f>"2170755681"</f>
        <v>2170755681</v>
      </c>
      <c r="F305" s="2" t="s">
        <v>17</v>
      </c>
      <c r="G305" s="2" t="s">
        <v>18</v>
      </c>
      <c r="H305" s="2" t="s">
        <v>19</v>
      </c>
      <c r="I305" s="2" t="s">
        <v>20</v>
      </c>
      <c r="J305" s="2" t="s">
        <v>428</v>
      </c>
      <c r="K305" s="2" t="s">
        <v>411</v>
      </c>
      <c r="L305" s="3">
        <v>0.4291666666666667</v>
      </c>
      <c r="M305" s="2" t="s">
        <v>533</v>
      </c>
      <c r="N305" s="2" t="s">
        <v>500</v>
      </c>
      <c r="O305" s="2"/>
    </row>
    <row r="306" spans="1:15" x14ac:dyDescent="0.25">
      <c r="A306" s="2" t="s">
        <v>15</v>
      </c>
      <c r="B306" s="2" t="str">
        <f>"FES1162767580"</f>
        <v>FES1162767580</v>
      </c>
      <c r="C306" s="2" t="s">
        <v>174</v>
      </c>
      <c r="D306" s="2">
        <v>1</v>
      </c>
      <c r="E306" s="2" t="str">
        <f>"2170752623"</f>
        <v>2170752623</v>
      </c>
      <c r="F306" s="2" t="s">
        <v>17</v>
      </c>
      <c r="G306" s="2" t="s">
        <v>18</v>
      </c>
      <c r="H306" s="2" t="s">
        <v>78</v>
      </c>
      <c r="I306" s="2" t="s">
        <v>79</v>
      </c>
      <c r="J306" s="2" t="s">
        <v>113</v>
      </c>
      <c r="K306" s="2" t="s">
        <v>411</v>
      </c>
      <c r="L306" s="3">
        <v>0.49444444444444446</v>
      </c>
      <c r="M306" s="2" t="s">
        <v>534</v>
      </c>
      <c r="N306" s="2" t="s">
        <v>500</v>
      </c>
      <c r="O306" s="2"/>
    </row>
    <row r="307" spans="1:15" x14ac:dyDescent="0.25">
      <c r="A307" s="2" t="s">
        <v>15</v>
      </c>
      <c r="B307" s="2" t="str">
        <f>"FES1162767692"</f>
        <v>FES1162767692</v>
      </c>
      <c r="C307" s="2" t="s">
        <v>174</v>
      </c>
      <c r="D307" s="2">
        <v>1</v>
      </c>
      <c r="E307" s="2" t="str">
        <f>"2170755612"</f>
        <v>2170755612</v>
      </c>
      <c r="F307" s="2" t="s">
        <v>17</v>
      </c>
      <c r="G307" s="2" t="s">
        <v>18</v>
      </c>
      <c r="H307" s="2" t="s">
        <v>18</v>
      </c>
      <c r="I307" s="2" t="s">
        <v>46</v>
      </c>
      <c r="J307" s="2" t="s">
        <v>355</v>
      </c>
      <c r="K307" s="2" t="s">
        <v>411</v>
      </c>
      <c r="L307" s="3">
        <v>0.37986111111111115</v>
      </c>
      <c r="M307" s="2" t="s">
        <v>535</v>
      </c>
      <c r="N307" s="2" t="s">
        <v>500</v>
      </c>
      <c r="O307" s="2"/>
    </row>
    <row r="308" spans="1:15" x14ac:dyDescent="0.25">
      <c r="A308" s="2" t="s">
        <v>15</v>
      </c>
      <c r="B308" s="2" t="str">
        <f>"FES1162767766"</f>
        <v>FES1162767766</v>
      </c>
      <c r="C308" s="2" t="s">
        <v>174</v>
      </c>
      <c r="D308" s="2">
        <v>1</v>
      </c>
      <c r="E308" s="2" t="str">
        <f>"2170755728"</f>
        <v>2170755728</v>
      </c>
      <c r="F308" s="2" t="s">
        <v>17</v>
      </c>
      <c r="G308" s="2" t="s">
        <v>18</v>
      </c>
      <c r="H308" s="2" t="s">
        <v>18</v>
      </c>
      <c r="I308" s="2" t="s">
        <v>116</v>
      </c>
      <c r="J308" s="2" t="s">
        <v>331</v>
      </c>
      <c r="K308" s="2" t="s">
        <v>411</v>
      </c>
      <c r="L308" s="3">
        <v>0.3840277777777778</v>
      </c>
      <c r="M308" s="2" t="s">
        <v>332</v>
      </c>
      <c r="N308" s="2" t="s">
        <v>500</v>
      </c>
      <c r="O308" s="2"/>
    </row>
    <row r="309" spans="1:15" x14ac:dyDescent="0.25">
      <c r="A309" s="2" t="s">
        <v>15</v>
      </c>
      <c r="B309" s="2" t="str">
        <f>"FES1162767738"</f>
        <v>FES1162767738</v>
      </c>
      <c r="C309" s="2" t="s">
        <v>174</v>
      </c>
      <c r="D309" s="2">
        <v>1</v>
      </c>
      <c r="E309" s="2" t="str">
        <f>"2170755680"</f>
        <v>2170755680</v>
      </c>
      <c r="F309" s="2" t="s">
        <v>17</v>
      </c>
      <c r="G309" s="2" t="s">
        <v>18</v>
      </c>
      <c r="H309" s="2" t="s">
        <v>18</v>
      </c>
      <c r="I309" s="2" t="s">
        <v>429</v>
      </c>
      <c r="J309" s="2" t="s">
        <v>430</v>
      </c>
      <c r="K309" s="2" t="s">
        <v>411</v>
      </c>
      <c r="L309" s="3">
        <v>0.43055555555555558</v>
      </c>
      <c r="M309" s="2" t="s">
        <v>536</v>
      </c>
      <c r="N309" s="2" t="s">
        <v>500</v>
      </c>
      <c r="O309" s="2"/>
    </row>
    <row r="310" spans="1:15" x14ac:dyDescent="0.25">
      <c r="A310" s="2" t="s">
        <v>15</v>
      </c>
      <c r="B310" s="2" t="str">
        <f>"FES1162767710"</f>
        <v>FES1162767710</v>
      </c>
      <c r="C310" s="2" t="s">
        <v>174</v>
      </c>
      <c r="D310" s="2">
        <v>1</v>
      </c>
      <c r="E310" s="2" t="str">
        <f>"2170753069"</f>
        <v>2170753069</v>
      </c>
      <c r="F310" s="2" t="s">
        <v>17</v>
      </c>
      <c r="G310" s="2" t="s">
        <v>18</v>
      </c>
      <c r="H310" s="2" t="s">
        <v>18</v>
      </c>
      <c r="I310" s="2" t="s">
        <v>46</v>
      </c>
      <c r="J310" s="2" t="s">
        <v>431</v>
      </c>
      <c r="K310" s="2" t="s">
        <v>411</v>
      </c>
      <c r="L310" s="3">
        <v>0.3833333333333333</v>
      </c>
      <c r="M310" s="2" t="s">
        <v>180</v>
      </c>
      <c r="N310" s="2" t="s">
        <v>500</v>
      </c>
      <c r="O310" s="2"/>
    </row>
    <row r="311" spans="1:15" x14ac:dyDescent="0.25">
      <c r="A311" s="2" t="s">
        <v>15</v>
      </c>
      <c r="B311" s="2" t="str">
        <f>"FES1162767709"</f>
        <v>FES1162767709</v>
      </c>
      <c r="C311" s="2" t="s">
        <v>174</v>
      </c>
      <c r="D311" s="2">
        <v>1</v>
      </c>
      <c r="E311" s="2" t="str">
        <f>"2170752650"</f>
        <v>2170752650</v>
      </c>
      <c r="F311" s="2" t="s">
        <v>17</v>
      </c>
      <c r="G311" s="2" t="s">
        <v>18</v>
      </c>
      <c r="H311" s="2" t="s">
        <v>18</v>
      </c>
      <c r="I311" s="2" t="s">
        <v>57</v>
      </c>
      <c r="J311" s="2" t="s">
        <v>432</v>
      </c>
      <c r="K311" s="2" t="s">
        <v>411</v>
      </c>
      <c r="L311" s="3">
        <v>0.51736111111111105</v>
      </c>
      <c r="M311" s="2" t="s">
        <v>537</v>
      </c>
      <c r="N311" s="2" t="s">
        <v>500</v>
      </c>
      <c r="O311" s="2"/>
    </row>
    <row r="312" spans="1:15" x14ac:dyDescent="0.25">
      <c r="A312" s="2" t="s">
        <v>15</v>
      </c>
      <c r="B312" s="2" t="str">
        <f>"FES1162767712"</f>
        <v>FES1162767712</v>
      </c>
      <c r="C312" s="2" t="s">
        <v>174</v>
      </c>
      <c r="D312" s="2">
        <v>1</v>
      </c>
      <c r="E312" s="2" t="str">
        <f>"2170753328"</f>
        <v>2170753328</v>
      </c>
      <c r="F312" s="2" t="s">
        <v>17</v>
      </c>
      <c r="G312" s="2" t="s">
        <v>18</v>
      </c>
      <c r="H312" s="2" t="s">
        <v>18</v>
      </c>
      <c r="I312" s="2" t="s">
        <v>46</v>
      </c>
      <c r="J312" s="2" t="s">
        <v>433</v>
      </c>
      <c r="K312" s="2" t="s">
        <v>411</v>
      </c>
      <c r="L312" s="3">
        <v>0.39166666666666666</v>
      </c>
      <c r="M312" s="2" t="s">
        <v>531</v>
      </c>
      <c r="N312" s="2" t="s">
        <v>500</v>
      </c>
      <c r="O312" s="2"/>
    </row>
    <row r="313" spans="1:15" x14ac:dyDescent="0.25">
      <c r="A313" s="2" t="s">
        <v>15</v>
      </c>
      <c r="B313" s="2" t="str">
        <f>"FES1162767848"</f>
        <v>FES1162767848</v>
      </c>
      <c r="C313" s="2" t="s">
        <v>174</v>
      </c>
      <c r="D313" s="2">
        <v>1</v>
      </c>
      <c r="E313" s="2" t="str">
        <f>"2170755819"</f>
        <v>2170755819</v>
      </c>
      <c r="F313" s="2" t="s">
        <v>17</v>
      </c>
      <c r="G313" s="2" t="s">
        <v>18</v>
      </c>
      <c r="H313" s="2" t="s">
        <v>25</v>
      </c>
      <c r="I313" s="2" t="s">
        <v>26</v>
      </c>
      <c r="J313" s="2" t="s">
        <v>75</v>
      </c>
      <c r="K313" s="2" t="s">
        <v>411</v>
      </c>
      <c r="L313" s="3">
        <v>0.3520833333333333</v>
      </c>
      <c r="M313" s="2" t="s">
        <v>518</v>
      </c>
      <c r="N313" s="2" t="s">
        <v>500</v>
      </c>
      <c r="O313" s="2"/>
    </row>
    <row r="314" spans="1:15" x14ac:dyDescent="0.25">
      <c r="A314" s="2" t="s">
        <v>15</v>
      </c>
      <c r="B314" s="2" t="str">
        <f>"FES1162767861"</f>
        <v>FES1162767861</v>
      </c>
      <c r="C314" s="2" t="s">
        <v>174</v>
      </c>
      <c r="D314" s="2">
        <v>1</v>
      </c>
      <c r="E314" s="2" t="str">
        <f>"2170751250"</f>
        <v>2170751250</v>
      </c>
      <c r="F314" s="2" t="s">
        <v>17</v>
      </c>
      <c r="G314" s="2" t="s">
        <v>18</v>
      </c>
      <c r="H314" s="2" t="s">
        <v>25</v>
      </c>
      <c r="I314" s="2" t="s">
        <v>26</v>
      </c>
      <c r="J314" s="2" t="s">
        <v>422</v>
      </c>
      <c r="K314" s="2" t="s">
        <v>411</v>
      </c>
      <c r="L314" s="3">
        <v>0.38472222222222219</v>
      </c>
      <c r="M314" s="2" t="s">
        <v>527</v>
      </c>
      <c r="N314" s="2" t="s">
        <v>500</v>
      </c>
      <c r="O314" s="2"/>
    </row>
    <row r="315" spans="1:15" x14ac:dyDescent="0.25">
      <c r="A315" s="2" t="s">
        <v>15</v>
      </c>
      <c r="B315" s="2" t="str">
        <f>"FES1162767805"</f>
        <v>FES1162767805</v>
      </c>
      <c r="C315" s="2" t="s">
        <v>174</v>
      </c>
      <c r="D315" s="2">
        <v>1</v>
      </c>
      <c r="E315" s="2" t="str">
        <f>"2170753285"</f>
        <v>2170753285</v>
      </c>
      <c r="F315" s="2" t="s">
        <v>17</v>
      </c>
      <c r="G315" s="2" t="s">
        <v>18</v>
      </c>
      <c r="H315" s="2" t="s">
        <v>36</v>
      </c>
      <c r="I315" s="2" t="s">
        <v>37</v>
      </c>
      <c r="J315" s="2" t="s">
        <v>162</v>
      </c>
      <c r="K315" s="2" t="s">
        <v>411</v>
      </c>
      <c r="L315" s="3">
        <v>0.33402777777777781</v>
      </c>
      <c r="M315" s="2" t="s">
        <v>268</v>
      </c>
      <c r="N315" s="2" t="s">
        <v>500</v>
      </c>
      <c r="O315" s="2"/>
    </row>
    <row r="316" spans="1:15" x14ac:dyDescent="0.25">
      <c r="A316" s="2" t="s">
        <v>15</v>
      </c>
      <c r="B316" s="2" t="str">
        <f>"FES1162767802"</f>
        <v>FES1162767802</v>
      </c>
      <c r="C316" s="2" t="s">
        <v>174</v>
      </c>
      <c r="D316" s="2">
        <v>1</v>
      </c>
      <c r="E316" s="2" t="str">
        <f>"2170753196"</f>
        <v>2170753196</v>
      </c>
      <c r="F316" s="2" t="s">
        <v>17</v>
      </c>
      <c r="G316" s="2" t="s">
        <v>18</v>
      </c>
      <c r="H316" s="2" t="s">
        <v>36</v>
      </c>
      <c r="I316" s="2" t="s">
        <v>37</v>
      </c>
      <c r="J316" s="2" t="s">
        <v>162</v>
      </c>
      <c r="K316" s="2" t="s">
        <v>411</v>
      </c>
      <c r="L316" s="3">
        <v>0.33402777777777781</v>
      </c>
      <c r="M316" s="2" t="s">
        <v>268</v>
      </c>
      <c r="N316" s="2" t="s">
        <v>500</v>
      </c>
      <c r="O316" s="2"/>
    </row>
    <row r="317" spans="1:15" x14ac:dyDescent="0.25">
      <c r="A317" s="2" t="s">
        <v>15</v>
      </c>
      <c r="B317" s="2" t="str">
        <f>"FES1162767904"</f>
        <v>FES1162767904</v>
      </c>
      <c r="C317" s="2" t="s">
        <v>174</v>
      </c>
      <c r="D317" s="2">
        <v>1</v>
      </c>
      <c r="E317" s="2" t="str">
        <f>"2170755342"</f>
        <v>2170755342</v>
      </c>
      <c r="F317" s="2" t="s">
        <v>17</v>
      </c>
      <c r="G317" s="2" t="s">
        <v>18</v>
      </c>
      <c r="H317" s="2" t="s">
        <v>36</v>
      </c>
      <c r="I317" s="2" t="s">
        <v>37</v>
      </c>
      <c r="J317" s="2" t="s">
        <v>272</v>
      </c>
      <c r="K317" s="2" t="s">
        <v>411</v>
      </c>
      <c r="L317" s="3">
        <v>0.41180555555555554</v>
      </c>
      <c r="M317" s="2" t="s">
        <v>538</v>
      </c>
      <c r="N317" s="2" t="s">
        <v>500</v>
      </c>
      <c r="O317" s="2"/>
    </row>
    <row r="318" spans="1:15" x14ac:dyDescent="0.25">
      <c r="A318" s="2" t="s">
        <v>15</v>
      </c>
      <c r="B318" s="2" t="str">
        <f>"FES1162767844"</f>
        <v>FES1162767844</v>
      </c>
      <c r="C318" s="2" t="s">
        <v>174</v>
      </c>
      <c r="D318" s="2">
        <v>1</v>
      </c>
      <c r="E318" s="2" t="str">
        <f>"2170755815"</f>
        <v>2170755815</v>
      </c>
      <c r="F318" s="2" t="s">
        <v>17</v>
      </c>
      <c r="G318" s="2" t="s">
        <v>18</v>
      </c>
      <c r="H318" s="2" t="s">
        <v>18</v>
      </c>
      <c r="I318" s="2" t="s">
        <v>65</v>
      </c>
      <c r="J318" s="2" t="s">
        <v>434</v>
      </c>
      <c r="K318" s="2" t="s">
        <v>411</v>
      </c>
      <c r="L318" s="3">
        <v>0.3125</v>
      </c>
      <c r="M318" s="2" t="s">
        <v>539</v>
      </c>
      <c r="N318" s="2" t="s">
        <v>500</v>
      </c>
      <c r="O318" s="2"/>
    </row>
    <row r="319" spans="1:15" x14ac:dyDescent="0.25">
      <c r="A319" s="2" t="s">
        <v>15</v>
      </c>
      <c r="B319" s="2" t="str">
        <f>"FES1162767817"</f>
        <v>FES1162767817</v>
      </c>
      <c r="C319" s="2" t="s">
        <v>174</v>
      </c>
      <c r="D319" s="2">
        <v>1</v>
      </c>
      <c r="E319" s="2" t="str">
        <f>"2170755592"</f>
        <v>2170755592</v>
      </c>
      <c r="F319" s="2" t="s">
        <v>17</v>
      </c>
      <c r="G319" s="2" t="s">
        <v>18</v>
      </c>
      <c r="H319" s="2" t="s">
        <v>18</v>
      </c>
      <c r="I319" s="2" t="s">
        <v>50</v>
      </c>
      <c r="J319" s="2" t="s">
        <v>285</v>
      </c>
      <c r="K319" s="2" t="s">
        <v>411</v>
      </c>
      <c r="L319" s="3">
        <v>0.44444444444444442</v>
      </c>
      <c r="M319" s="2" t="s">
        <v>540</v>
      </c>
      <c r="N319" s="2" t="s">
        <v>500</v>
      </c>
      <c r="O319" s="2"/>
    </row>
    <row r="320" spans="1:15" x14ac:dyDescent="0.25">
      <c r="A320" s="2" t="s">
        <v>15</v>
      </c>
      <c r="B320" s="2" t="str">
        <f>"FES1162767855"</f>
        <v>FES1162767855</v>
      </c>
      <c r="C320" s="2" t="s">
        <v>174</v>
      </c>
      <c r="D320" s="2">
        <v>1</v>
      </c>
      <c r="E320" s="2" t="str">
        <f>"2170755672"</f>
        <v>2170755672</v>
      </c>
      <c r="F320" s="2" t="s">
        <v>17</v>
      </c>
      <c r="G320" s="2" t="s">
        <v>18</v>
      </c>
      <c r="H320" s="2" t="s">
        <v>18</v>
      </c>
      <c r="I320" s="2" t="s">
        <v>157</v>
      </c>
      <c r="J320" s="2" t="s">
        <v>435</v>
      </c>
      <c r="K320" s="2" t="s">
        <v>411</v>
      </c>
      <c r="L320" s="3">
        <v>0.33333333333333331</v>
      </c>
      <c r="M320" s="2" t="s">
        <v>541</v>
      </c>
      <c r="N320" s="2" t="s">
        <v>500</v>
      </c>
      <c r="O320" s="2"/>
    </row>
    <row r="321" spans="1:15" x14ac:dyDescent="0.25">
      <c r="A321" s="2" t="s">
        <v>15</v>
      </c>
      <c r="B321" s="2" t="str">
        <f>"FES1162767846"</f>
        <v>FES1162767846</v>
      </c>
      <c r="C321" s="2" t="s">
        <v>174</v>
      </c>
      <c r="D321" s="2">
        <v>1</v>
      </c>
      <c r="E321" s="2" t="str">
        <f>"2170755802"</f>
        <v>2170755802</v>
      </c>
      <c r="F321" s="2" t="s">
        <v>17</v>
      </c>
      <c r="G321" s="2" t="s">
        <v>18</v>
      </c>
      <c r="H321" s="2" t="s">
        <v>18</v>
      </c>
      <c r="I321" s="2" t="s">
        <v>46</v>
      </c>
      <c r="J321" s="2" t="s">
        <v>436</v>
      </c>
      <c r="K321" s="2" t="s">
        <v>411</v>
      </c>
      <c r="L321" s="3">
        <v>0.34722222222222227</v>
      </c>
      <c r="M321" s="2" t="s">
        <v>542</v>
      </c>
      <c r="N321" s="2" t="s">
        <v>500</v>
      </c>
      <c r="O321" s="2"/>
    </row>
    <row r="322" spans="1:15" x14ac:dyDescent="0.25">
      <c r="A322" s="2" t="s">
        <v>15</v>
      </c>
      <c r="B322" s="2" t="str">
        <f>"FES1162767838"</f>
        <v>FES1162767838</v>
      </c>
      <c r="C322" s="2" t="s">
        <v>174</v>
      </c>
      <c r="D322" s="2">
        <v>1</v>
      </c>
      <c r="E322" s="2" t="str">
        <f>"2170755799"</f>
        <v>2170755799</v>
      </c>
      <c r="F322" s="2" t="s">
        <v>17</v>
      </c>
      <c r="G322" s="2" t="s">
        <v>18</v>
      </c>
      <c r="H322" s="2" t="s">
        <v>18</v>
      </c>
      <c r="I322" s="2" t="s">
        <v>46</v>
      </c>
      <c r="J322" s="2" t="s">
        <v>115</v>
      </c>
      <c r="K322" s="2" t="s">
        <v>411</v>
      </c>
      <c r="L322" s="3">
        <v>0.32916666666666666</v>
      </c>
      <c r="M322" s="2" t="s">
        <v>543</v>
      </c>
      <c r="N322" s="2" t="s">
        <v>500</v>
      </c>
      <c r="O322" s="2"/>
    </row>
    <row r="323" spans="1:15" x14ac:dyDescent="0.25">
      <c r="A323" s="2" t="s">
        <v>15</v>
      </c>
      <c r="B323" s="2" t="str">
        <f>"FES1162767815"</f>
        <v>FES1162767815</v>
      </c>
      <c r="C323" s="2" t="s">
        <v>174</v>
      </c>
      <c r="D323" s="2">
        <v>1</v>
      </c>
      <c r="E323" s="2" t="str">
        <f>"2170755566"</f>
        <v>2170755566</v>
      </c>
      <c r="F323" s="2" t="s">
        <v>17</v>
      </c>
      <c r="G323" s="2" t="s">
        <v>18</v>
      </c>
      <c r="H323" s="2" t="s">
        <v>25</v>
      </c>
      <c r="I323" s="2" t="s">
        <v>345</v>
      </c>
      <c r="J323" s="2" t="s">
        <v>346</v>
      </c>
      <c r="K323" s="2" t="s">
        <v>510</v>
      </c>
      <c r="L323" s="3">
        <v>0.33055555555555555</v>
      </c>
      <c r="M323" s="2" t="s">
        <v>544</v>
      </c>
      <c r="N323" s="2" t="s">
        <v>500</v>
      </c>
      <c r="O323" s="2"/>
    </row>
    <row r="324" spans="1:15" x14ac:dyDescent="0.25">
      <c r="A324" s="2" t="s">
        <v>15</v>
      </c>
      <c r="B324" s="2" t="str">
        <f>"FES1162767839"</f>
        <v>FES1162767839</v>
      </c>
      <c r="C324" s="2" t="s">
        <v>174</v>
      </c>
      <c r="D324" s="2">
        <v>1</v>
      </c>
      <c r="E324" s="2" t="str">
        <f>"2170755801"</f>
        <v>2170755801</v>
      </c>
      <c r="F324" s="2" t="s">
        <v>17</v>
      </c>
      <c r="G324" s="2" t="s">
        <v>18</v>
      </c>
      <c r="H324" s="2" t="s">
        <v>33</v>
      </c>
      <c r="I324" s="2" t="s">
        <v>34</v>
      </c>
      <c r="J324" s="2" t="s">
        <v>71</v>
      </c>
      <c r="K324" s="2" t="s">
        <v>411</v>
      </c>
      <c r="L324" s="3">
        <v>0.43333333333333335</v>
      </c>
      <c r="M324" s="2" t="s">
        <v>545</v>
      </c>
      <c r="N324" s="2" t="s">
        <v>500</v>
      </c>
      <c r="O324" s="2"/>
    </row>
    <row r="325" spans="1:15" x14ac:dyDescent="0.25">
      <c r="A325" s="2" t="s">
        <v>15</v>
      </c>
      <c r="B325" s="2" t="str">
        <f>"FES1162767826"</f>
        <v>FES1162767826</v>
      </c>
      <c r="C325" s="2" t="s">
        <v>174</v>
      </c>
      <c r="D325" s="2">
        <v>1</v>
      </c>
      <c r="E325" s="2" t="str">
        <f>"2170755771"</f>
        <v>2170755771</v>
      </c>
      <c r="F325" s="2" t="s">
        <v>17</v>
      </c>
      <c r="G325" s="2" t="s">
        <v>18</v>
      </c>
      <c r="H325" s="2" t="s">
        <v>36</v>
      </c>
      <c r="I325" s="2" t="s">
        <v>134</v>
      </c>
      <c r="J325" s="2" t="s">
        <v>319</v>
      </c>
      <c r="K325" s="2" t="s">
        <v>411</v>
      </c>
      <c r="L325" s="3">
        <v>0.54652777777777783</v>
      </c>
      <c r="M325" s="2" t="s">
        <v>546</v>
      </c>
      <c r="N325" s="2" t="s">
        <v>500</v>
      </c>
      <c r="O325" s="2"/>
    </row>
    <row r="326" spans="1:15" x14ac:dyDescent="0.25">
      <c r="A326" s="2" t="s">
        <v>15</v>
      </c>
      <c r="B326" s="2" t="str">
        <f>"FES1162767842"</f>
        <v>FES1162767842</v>
      </c>
      <c r="C326" s="2" t="s">
        <v>174</v>
      </c>
      <c r="D326" s="2">
        <v>1</v>
      </c>
      <c r="E326" s="2" t="str">
        <f>"2170755810"</f>
        <v>2170755810</v>
      </c>
      <c r="F326" s="2" t="s">
        <v>17</v>
      </c>
      <c r="G326" s="2" t="s">
        <v>18</v>
      </c>
      <c r="H326" s="2" t="s">
        <v>18</v>
      </c>
      <c r="I326" s="2" t="s">
        <v>63</v>
      </c>
      <c r="J326" s="2" t="s">
        <v>53</v>
      </c>
      <c r="K326" s="2" t="s">
        <v>411</v>
      </c>
      <c r="L326" s="3">
        <v>0.32916666666666666</v>
      </c>
      <c r="M326" s="2" t="s">
        <v>547</v>
      </c>
      <c r="N326" s="2" t="s">
        <v>500</v>
      </c>
      <c r="O326" s="2"/>
    </row>
    <row r="327" spans="1:15" x14ac:dyDescent="0.25">
      <c r="A327" s="2" t="s">
        <v>15</v>
      </c>
      <c r="B327" s="2" t="str">
        <f>"FES1162767827"</f>
        <v>FES1162767827</v>
      </c>
      <c r="C327" s="2" t="s">
        <v>174</v>
      </c>
      <c r="D327" s="2">
        <v>1</v>
      </c>
      <c r="E327" s="2" t="str">
        <f>"2170755773"</f>
        <v>2170755773</v>
      </c>
      <c r="F327" s="2" t="s">
        <v>17</v>
      </c>
      <c r="G327" s="2" t="s">
        <v>18</v>
      </c>
      <c r="H327" s="2" t="s">
        <v>19</v>
      </c>
      <c r="I327" s="2" t="s">
        <v>20</v>
      </c>
      <c r="J327" s="2" t="s">
        <v>123</v>
      </c>
      <c r="K327" s="2" t="s">
        <v>510</v>
      </c>
      <c r="L327" s="3">
        <v>0.42222222222222222</v>
      </c>
      <c r="M327" s="2" t="s">
        <v>233</v>
      </c>
      <c r="N327" s="2" t="s">
        <v>500</v>
      </c>
      <c r="O327" s="2"/>
    </row>
    <row r="328" spans="1:15" x14ac:dyDescent="0.25">
      <c r="A328" s="2" t="s">
        <v>15</v>
      </c>
      <c r="B328" s="2" t="str">
        <f>"FES1162767801"</f>
        <v>FES1162767801</v>
      </c>
      <c r="C328" s="2" t="s">
        <v>174</v>
      </c>
      <c r="D328" s="2">
        <v>1</v>
      </c>
      <c r="E328" s="2" t="str">
        <f>"2170748214"</f>
        <v>2170748214</v>
      </c>
      <c r="F328" s="2" t="s">
        <v>17</v>
      </c>
      <c r="G328" s="2" t="s">
        <v>18</v>
      </c>
      <c r="H328" s="2" t="s">
        <v>88</v>
      </c>
      <c r="I328" s="2" t="s">
        <v>437</v>
      </c>
      <c r="J328" s="2" t="s">
        <v>438</v>
      </c>
      <c r="K328" s="2" t="s">
        <v>411</v>
      </c>
      <c r="L328" s="3">
        <v>0.4548611111111111</v>
      </c>
      <c r="M328" s="2" t="s">
        <v>548</v>
      </c>
      <c r="N328" s="2" t="s">
        <v>500</v>
      </c>
      <c r="O328" s="2"/>
    </row>
    <row r="329" spans="1:15" x14ac:dyDescent="0.25">
      <c r="A329" s="2" t="s">
        <v>15</v>
      </c>
      <c r="B329" s="2" t="str">
        <f>"FES1162767843"</f>
        <v>FES1162767843</v>
      </c>
      <c r="C329" s="2" t="s">
        <v>174</v>
      </c>
      <c r="D329" s="2">
        <v>1</v>
      </c>
      <c r="E329" s="2" t="str">
        <f>"2170755814"</f>
        <v>2170755814</v>
      </c>
      <c r="F329" s="2" t="s">
        <v>17</v>
      </c>
      <c r="G329" s="2" t="s">
        <v>18</v>
      </c>
      <c r="H329" s="2" t="s">
        <v>33</v>
      </c>
      <c r="I329" s="2" t="s">
        <v>439</v>
      </c>
      <c r="J329" s="2" t="s">
        <v>440</v>
      </c>
      <c r="K329" s="2" t="s">
        <v>510</v>
      </c>
      <c r="L329" s="3">
        <v>0.65486111111111112</v>
      </c>
      <c r="M329" s="2" t="s">
        <v>673</v>
      </c>
      <c r="N329" s="2" t="s">
        <v>500</v>
      </c>
      <c r="O329" s="2"/>
    </row>
    <row r="330" spans="1:15" x14ac:dyDescent="0.25">
      <c r="A330" s="2" t="s">
        <v>15</v>
      </c>
      <c r="B330" s="2" t="str">
        <f>"FES1162767833"</f>
        <v>FES1162767833</v>
      </c>
      <c r="C330" s="2" t="s">
        <v>174</v>
      </c>
      <c r="D330" s="2">
        <v>1</v>
      </c>
      <c r="E330" s="2" t="str">
        <f>"2170755785"</f>
        <v>2170755785</v>
      </c>
      <c r="F330" s="2" t="s">
        <v>17</v>
      </c>
      <c r="G330" s="2" t="s">
        <v>18</v>
      </c>
      <c r="H330" s="2" t="s">
        <v>18</v>
      </c>
      <c r="I330" s="2" t="s">
        <v>63</v>
      </c>
      <c r="J330" s="2" t="s">
        <v>441</v>
      </c>
      <c r="K330" s="2" t="s">
        <v>411</v>
      </c>
      <c r="L330" s="3">
        <v>0.30069444444444443</v>
      </c>
      <c r="M330" s="2" t="s">
        <v>442</v>
      </c>
      <c r="N330" s="2" t="s">
        <v>500</v>
      </c>
      <c r="O330" s="2"/>
    </row>
    <row r="331" spans="1:15" x14ac:dyDescent="0.25">
      <c r="A331" s="2" t="s">
        <v>15</v>
      </c>
      <c r="B331" s="2" t="str">
        <f>"FES1162767804"</f>
        <v>FES1162767804</v>
      </c>
      <c r="C331" s="2" t="s">
        <v>174</v>
      </c>
      <c r="D331" s="2">
        <v>1</v>
      </c>
      <c r="E331" s="2" t="str">
        <f>"2170753266"</f>
        <v>2170753266</v>
      </c>
      <c r="F331" s="2" t="s">
        <v>17</v>
      </c>
      <c r="G331" s="2" t="s">
        <v>18</v>
      </c>
      <c r="H331" s="2" t="s">
        <v>36</v>
      </c>
      <c r="I331" s="2" t="s">
        <v>37</v>
      </c>
      <c r="J331" s="2" t="s">
        <v>162</v>
      </c>
      <c r="K331" s="2" t="s">
        <v>411</v>
      </c>
      <c r="L331" s="3">
        <v>0.33402777777777781</v>
      </c>
      <c r="M331" s="2" t="s">
        <v>268</v>
      </c>
      <c r="N331" s="2" t="s">
        <v>500</v>
      </c>
      <c r="O331" s="2"/>
    </row>
    <row r="332" spans="1:15" x14ac:dyDescent="0.25">
      <c r="A332" s="2" t="s">
        <v>15</v>
      </c>
      <c r="B332" s="2" t="str">
        <f>"FES1162767809"</f>
        <v>FES1162767809</v>
      </c>
      <c r="C332" s="2" t="s">
        <v>174</v>
      </c>
      <c r="D332" s="2">
        <v>1</v>
      </c>
      <c r="E332" s="2" t="str">
        <f>"2170754575"</f>
        <v>2170754575</v>
      </c>
      <c r="F332" s="2" t="s">
        <v>17</v>
      </c>
      <c r="G332" s="2" t="s">
        <v>18</v>
      </c>
      <c r="H332" s="2" t="s">
        <v>25</v>
      </c>
      <c r="I332" s="2" t="s">
        <v>26</v>
      </c>
      <c r="J332" s="2" t="s">
        <v>44</v>
      </c>
      <c r="K332" s="2" t="s">
        <v>411</v>
      </c>
      <c r="L332" s="3">
        <v>0.4375</v>
      </c>
      <c r="M332" s="2" t="s">
        <v>549</v>
      </c>
      <c r="N332" s="2" t="s">
        <v>500</v>
      </c>
      <c r="O332" s="2"/>
    </row>
    <row r="333" spans="1:15" x14ac:dyDescent="0.25">
      <c r="A333" s="2" t="s">
        <v>15</v>
      </c>
      <c r="B333" s="2" t="str">
        <f>"FES1162767837"</f>
        <v>FES1162767837</v>
      </c>
      <c r="C333" s="2" t="s">
        <v>174</v>
      </c>
      <c r="D333" s="2">
        <v>1</v>
      </c>
      <c r="E333" s="2" t="str">
        <f>"2170755797"</f>
        <v>2170755797</v>
      </c>
      <c r="F333" s="2" t="s">
        <v>17</v>
      </c>
      <c r="G333" s="2" t="s">
        <v>18</v>
      </c>
      <c r="H333" s="2" t="s">
        <v>25</v>
      </c>
      <c r="I333" s="2" t="s">
        <v>26</v>
      </c>
      <c r="J333" s="2" t="s">
        <v>75</v>
      </c>
      <c r="K333" s="2" t="s">
        <v>411</v>
      </c>
      <c r="L333" s="3">
        <v>0.35138888888888892</v>
      </c>
      <c r="M333" s="2" t="s">
        <v>518</v>
      </c>
      <c r="N333" s="2" t="s">
        <v>500</v>
      </c>
      <c r="O333" s="2"/>
    </row>
    <row r="334" spans="1:15" x14ac:dyDescent="0.25">
      <c r="A334" s="2" t="s">
        <v>15</v>
      </c>
      <c r="B334" s="2" t="str">
        <f>"FES1162767836"</f>
        <v>FES1162767836</v>
      </c>
      <c r="C334" s="2" t="s">
        <v>174</v>
      </c>
      <c r="D334" s="2">
        <v>1</v>
      </c>
      <c r="E334" s="2" t="str">
        <f>"2170755796"</f>
        <v>2170755796</v>
      </c>
      <c r="F334" s="2" t="s">
        <v>17</v>
      </c>
      <c r="G334" s="2" t="s">
        <v>18</v>
      </c>
      <c r="H334" s="2" t="s">
        <v>25</v>
      </c>
      <c r="I334" s="2" t="s">
        <v>26</v>
      </c>
      <c r="J334" s="2" t="s">
        <v>75</v>
      </c>
      <c r="K334" s="2" t="s">
        <v>411</v>
      </c>
      <c r="L334" s="3">
        <v>0.3520833333333333</v>
      </c>
      <c r="M334" s="2" t="s">
        <v>518</v>
      </c>
      <c r="N334" s="2" t="s">
        <v>500</v>
      </c>
      <c r="O334" s="2"/>
    </row>
    <row r="335" spans="1:15" x14ac:dyDescent="0.25">
      <c r="A335" s="2" t="s">
        <v>15</v>
      </c>
      <c r="B335" s="2" t="str">
        <f>"FES1162767818"</f>
        <v>FES1162767818</v>
      </c>
      <c r="C335" s="2" t="s">
        <v>174</v>
      </c>
      <c r="D335" s="2">
        <v>1</v>
      </c>
      <c r="E335" s="2" t="str">
        <f>"2170755598"</f>
        <v>2170755598</v>
      </c>
      <c r="F335" s="2" t="s">
        <v>17</v>
      </c>
      <c r="G335" s="2" t="s">
        <v>18</v>
      </c>
      <c r="H335" s="2" t="s">
        <v>18</v>
      </c>
      <c r="I335" s="2" t="s">
        <v>50</v>
      </c>
      <c r="J335" s="2" t="s">
        <v>285</v>
      </c>
      <c r="K335" s="2" t="s">
        <v>411</v>
      </c>
      <c r="L335" s="3">
        <v>0.44444444444444442</v>
      </c>
      <c r="M335" s="2" t="s">
        <v>540</v>
      </c>
      <c r="N335" s="2" t="s">
        <v>500</v>
      </c>
      <c r="O335" s="2"/>
    </row>
    <row r="336" spans="1:15" x14ac:dyDescent="0.25">
      <c r="A336" s="2" t="s">
        <v>15</v>
      </c>
      <c r="B336" s="2" t="str">
        <f>"FES1162767820"</f>
        <v>FES1162767820</v>
      </c>
      <c r="C336" s="2" t="s">
        <v>174</v>
      </c>
      <c r="D336" s="2">
        <v>1</v>
      </c>
      <c r="E336" s="2" t="str">
        <f>"2170755699"</f>
        <v>2170755699</v>
      </c>
      <c r="F336" s="2" t="s">
        <v>17</v>
      </c>
      <c r="G336" s="2" t="s">
        <v>18</v>
      </c>
      <c r="H336" s="2" t="s">
        <v>25</v>
      </c>
      <c r="I336" s="2" t="s">
        <v>125</v>
      </c>
      <c r="J336" s="2" t="s">
        <v>126</v>
      </c>
      <c r="K336" s="2" t="s">
        <v>411</v>
      </c>
      <c r="L336" s="3">
        <v>0.4375</v>
      </c>
      <c r="M336" s="2" t="s">
        <v>235</v>
      </c>
      <c r="N336" s="2" t="s">
        <v>500</v>
      </c>
      <c r="O336" s="2"/>
    </row>
    <row r="337" spans="1:15" x14ac:dyDescent="0.25">
      <c r="A337" s="2" t="s">
        <v>15</v>
      </c>
      <c r="B337" s="2" t="str">
        <f>"FES1162767903"</f>
        <v>FES1162767903</v>
      </c>
      <c r="C337" s="2" t="s">
        <v>174</v>
      </c>
      <c r="D337" s="2">
        <v>1</v>
      </c>
      <c r="E337" s="2" t="str">
        <f>"2170755348"</f>
        <v>2170755348</v>
      </c>
      <c r="F337" s="2" t="s">
        <v>17</v>
      </c>
      <c r="G337" s="2" t="s">
        <v>18</v>
      </c>
      <c r="H337" s="2" t="s">
        <v>36</v>
      </c>
      <c r="I337" s="2" t="s">
        <v>37</v>
      </c>
      <c r="J337" s="2" t="s">
        <v>272</v>
      </c>
      <c r="K337" s="2" t="s">
        <v>411</v>
      </c>
      <c r="L337" s="3">
        <v>0.33402777777777781</v>
      </c>
      <c r="M337" s="2" t="s">
        <v>268</v>
      </c>
      <c r="N337" s="2" t="s">
        <v>500</v>
      </c>
      <c r="O337" s="2"/>
    </row>
    <row r="338" spans="1:15" x14ac:dyDescent="0.25">
      <c r="A338" s="2" t="s">
        <v>15</v>
      </c>
      <c r="B338" s="2" t="str">
        <f>"FES1162767819"</f>
        <v>FES1162767819</v>
      </c>
      <c r="C338" s="2" t="s">
        <v>174</v>
      </c>
      <c r="D338" s="2">
        <v>1</v>
      </c>
      <c r="E338" s="2" t="str">
        <f>"2170755680"</f>
        <v>2170755680</v>
      </c>
      <c r="F338" s="2" t="s">
        <v>17</v>
      </c>
      <c r="G338" s="2" t="s">
        <v>18</v>
      </c>
      <c r="H338" s="2" t="s">
        <v>18</v>
      </c>
      <c r="I338" s="2" t="s">
        <v>429</v>
      </c>
      <c r="J338" s="2" t="s">
        <v>430</v>
      </c>
      <c r="K338" s="2" t="s">
        <v>411</v>
      </c>
      <c r="L338" s="3">
        <v>0.43055555555555558</v>
      </c>
      <c r="M338" s="2" t="s">
        <v>536</v>
      </c>
      <c r="N338" s="2" t="s">
        <v>500</v>
      </c>
      <c r="O338" s="2"/>
    </row>
    <row r="339" spans="1:15" x14ac:dyDescent="0.25">
      <c r="A339" s="2" t="s">
        <v>15</v>
      </c>
      <c r="B339" s="2" t="str">
        <f>"FES1162767806"</f>
        <v>FES1162767806</v>
      </c>
      <c r="C339" s="2" t="s">
        <v>174</v>
      </c>
      <c r="D339" s="2">
        <v>1</v>
      </c>
      <c r="E339" s="2" t="str">
        <f>"2170754204"</f>
        <v>2170754204</v>
      </c>
      <c r="F339" s="2" t="s">
        <v>17</v>
      </c>
      <c r="G339" s="2" t="s">
        <v>18</v>
      </c>
      <c r="H339" s="2" t="s">
        <v>25</v>
      </c>
      <c r="I339" s="2" t="s">
        <v>125</v>
      </c>
      <c r="J339" s="2" t="s">
        <v>126</v>
      </c>
      <c r="K339" s="2" t="s">
        <v>411</v>
      </c>
      <c r="L339" s="3">
        <v>0.4375</v>
      </c>
      <c r="M339" s="2" t="s">
        <v>235</v>
      </c>
      <c r="N339" s="2" t="s">
        <v>500</v>
      </c>
      <c r="O339" s="2"/>
    </row>
    <row r="340" spans="1:15" x14ac:dyDescent="0.25">
      <c r="A340" s="2" t="s">
        <v>15</v>
      </c>
      <c r="B340" s="2" t="str">
        <f>"FES1162767874"</f>
        <v>FES1162767874</v>
      </c>
      <c r="C340" s="2" t="s">
        <v>174</v>
      </c>
      <c r="D340" s="2">
        <v>1</v>
      </c>
      <c r="E340" s="2" t="str">
        <f>"2170755845"</f>
        <v>2170755845</v>
      </c>
      <c r="F340" s="2" t="s">
        <v>17</v>
      </c>
      <c r="G340" s="2" t="s">
        <v>18</v>
      </c>
      <c r="H340" s="2" t="s">
        <v>25</v>
      </c>
      <c r="I340" s="2" t="s">
        <v>26</v>
      </c>
      <c r="J340" s="2" t="s">
        <v>27</v>
      </c>
      <c r="K340" s="2" t="s">
        <v>411</v>
      </c>
      <c r="L340" s="3">
        <v>0.36874999999999997</v>
      </c>
      <c r="M340" s="2" t="s">
        <v>521</v>
      </c>
      <c r="N340" s="2" t="s">
        <v>500</v>
      </c>
      <c r="O340" s="2"/>
    </row>
    <row r="341" spans="1:15" x14ac:dyDescent="0.25">
      <c r="A341" s="2" t="s">
        <v>15</v>
      </c>
      <c r="B341" s="2" t="str">
        <f>"FES1162767813"</f>
        <v>FES1162767813</v>
      </c>
      <c r="C341" s="2" t="s">
        <v>174</v>
      </c>
      <c r="D341" s="2">
        <v>1</v>
      </c>
      <c r="E341" s="2" t="str">
        <f>"2170755500"</f>
        <v>2170755500</v>
      </c>
      <c r="F341" s="2" t="s">
        <v>17</v>
      </c>
      <c r="G341" s="2" t="s">
        <v>18</v>
      </c>
      <c r="H341" s="2" t="s">
        <v>25</v>
      </c>
      <c r="I341" s="2" t="s">
        <v>42</v>
      </c>
      <c r="J341" s="2" t="s">
        <v>416</v>
      </c>
      <c r="K341" s="2" t="s">
        <v>411</v>
      </c>
      <c r="L341" s="3">
        <v>0.53472222222222221</v>
      </c>
      <c r="M341" s="2" t="s">
        <v>517</v>
      </c>
      <c r="N341" s="2" t="s">
        <v>500</v>
      </c>
      <c r="O341" s="2"/>
    </row>
    <row r="342" spans="1:15" x14ac:dyDescent="0.25">
      <c r="A342" s="2" t="s">
        <v>15</v>
      </c>
      <c r="B342" s="2" t="str">
        <f>"FES1162767803"</f>
        <v>FES1162767803</v>
      </c>
      <c r="C342" s="2" t="s">
        <v>174</v>
      </c>
      <c r="D342" s="2">
        <v>1</v>
      </c>
      <c r="E342" s="2" t="str">
        <f>"2170753247"</f>
        <v>2170753247</v>
      </c>
      <c r="F342" s="2" t="s">
        <v>17</v>
      </c>
      <c r="G342" s="2" t="s">
        <v>18</v>
      </c>
      <c r="H342" s="2" t="s">
        <v>36</v>
      </c>
      <c r="I342" s="2" t="s">
        <v>37</v>
      </c>
      <c r="J342" s="2" t="s">
        <v>162</v>
      </c>
      <c r="K342" s="2" t="s">
        <v>411</v>
      </c>
      <c r="L342" s="3">
        <v>0.33402777777777781</v>
      </c>
      <c r="M342" s="2" t="s">
        <v>268</v>
      </c>
      <c r="N342" s="2" t="s">
        <v>500</v>
      </c>
      <c r="O342" s="2"/>
    </row>
    <row r="343" spans="1:15" x14ac:dyDescent="0.25">
      <c r="A343" s="2" t="s">
        <v>15</v>
      </c>
      <c r="B343" s="2" t="str">
        <f>"FES1162767858"</f>
        <v>FES1162767858</v>
      </c>
      <c r="C343" s="2" t="s">
        <v>174</v>
      </c>
      <c r="D343" s="2">
        <v>1</v>
      </c>
      <c r="E343" s="2" t="str">
        <f>"2170755834"</f>
        <v>2170755834</v>
      </c>
      <c r="F343" s="2" t="s">
        <v>17</v>
      </c>
      <c r="G343" s="2" t="s">
        <v>18</v>
      </c>
      <c r="H343" s="2" t="s">
        <v>19</v>
      </c>
      <c r="I343" s="2" t="s">
        <v>20</v>
      </c>
      <c r="J343" s="2" t="s">
        <v>443</v>
      </c>
      <c r="K343" s="2" t="s">
        <v>411</v>
      </c>
      <c r="L343" s="3">
        <v>0.43888888888888888</v>
      </c>
      <c r="M343" s="2" t="s">
        <v>550</v>
      </c>
      <c r="N343" s="2" t="s">
        <v>500</v>
      </c>
      <c r="O343" s="2"/>
    </row>
    <row r="344" spans="1:15" x14ac:dyDescent="0.25">
      <c r="A344" s="2" t="s">
        <v>15</v>
      </c>
      <c r="B344" s="2" t="str">
        <f>"FES1162767857"</f>
        <v>FES1162767857</v>
      </c>
      <c r="C344" s="2" t="s">
        <v>174</v>
      </c>
      <c r="D344" s="2">
        <v>1</v>
      </c>
      <c r="E344" s="2" t="str">
        <f>"2170755831"</f>
        <v>2170755831</v>
      </c>
      <c r="F344" s="2" t="s">
        <v>17</v>
      </c>
      <c r="G344" s="2" t="s">
        <v>18</v>
      </c>
      <c r="H344" s="2" t="s">
        <v>19</v>
      </c>
      <c r="I344" s="2" t="s">
        <v>20</v>
      </c>
      <c r="J344" s="2" t="s">
        <v>166</v>
      </c>
      <c r="K344" s="2" t="s">
        <v>411</v>
      </c>
      <c r="L344" s="3">
        <v>0.40277777777777773</v>
      </c>
      <c r="M344" s="2" t="s">
        <v>551</v>
      </c>
      <c r="N344" s="2" t="s">
        <v>500</v>
      </c>
      <c r="O344" s="2"/>
    </row>
    <row r="345" spans="1:15" x14ac:dyDescent="0.25">
      <c r="A345" s="2" t="s">
        <v>15</v>
      </c>
      <c r="B345" s="2" t="str">
        <f>"FES1162767893"</f>
        <v>FES1162767893</v>
      </c>
      <c r="C345" s="2" t="s">
        <v>174</v>
      </c>
      <c r="D345" s="2">
        <v>1</v>
      </c>
      <c r="E345" s="2" t="str">
        <f>"2170755870"</f>
        <v>2170755870</v>
      </c>
      <c r="F345" s="2" t="s">
        <v>17</v>
      </c>
      <c r="G345" s="2" t="s">
        <v>18</v>
      </c>
      <c r="H345" s="2" t="s">
        <v>25</v>
      </c>
      <c r="I345" s="2" t="s">
        <v>42</v>
      </c>
      <c r="J345" s="2" t="s">
        <v>416</v>
      </c>
      <c r="K345" s="2" t="s">
        <v>411</v>
      </c>
      <c r="L345" s="3">
        <v>0.53472222222222221</v>
      </c>
      <c r="M345" s="2" t="s">
        <v>517</v>
      </c>
      <c r="N345" s="2" t="s">
        <v>500</v>
      </c>
      <c r="O345" s="2"/>
    </row>
    <row r="346" spans="1:15" x14ac:dyDescent="0.25">
      <c r="A346" s="2" t="s">
        <v>15</v>
      </c>
      <c r="B346" s="2" t="str">
        <f>"FES1162767885"</f>
        <v>FES1162767885</v>
      </c>
      <c r="C346" s="2" t="s">
        <v>174</v>
      </c>
      <c r="D346" s="2">
        <v>1</v>
      </c>
      <c r="E346" s="2" t="str">
        <f>"2170755858"</f>
        <v>2170755858</v>
      </c>
      <c r="F346" s="2" t="s">
        <v>17</v>
      </c>
      <c r="G346" s="2" t="s">
        <v>18</v>
      </c>
      <c r="H346" s="2" t="s">
        <v>30</v>
      </c>
      <c r="I346" s="2" t="s">
        <v>444</v>
      </c>
      <c r="J346" s="2" t="s">
        <v>445</v>
      </c>
      <c r="K346" s="2" t="s">
        <v>411</v>
      </c>
      <c r="L346" s="3">
        <v>0.45347222222222222</v>
      </c>
      <c r="M346" s="2" t="s">
        <v>552</v>
      </c>
      <c r="N346" s="2" t="s">
        <v>500</v>
      </c>
      <c r="O346" s="2"/>
    </row>
    <row r="347" spans="1:15" x14ac:dyDescent="0.25">
      <c r="A347" s="2" t="s">
        <v>15</v>
      </c>
      <c r="B347" s="2" t="str">
        <f>"FES1162767910"</f>
        <v>FES1162767910</v>
      </c>
      <c r="C347" s="2" t="s">
        <v>174</v>
      </c>
      <c r="D347" s="2">
        <v>1</v>
      </c>
      <c r="E347" s="2" t="str">
        <f>"2170755835"</f>
        <v>2170755835</v>
      </c>
      <c r="F347" s="2" t="s">
        <v>17</v>
      </c>
      <c r="G347" s="2" t="s">
        <v>18</v>
      </c>
      <c r="H347" s="2" t="s">
        <v>25</v>
      </c>
      <c r="I347" s="2" t="s">
        <v>26</v>
      </c>
      <c r="J347" s="2" t="s">
        <v>27</v>
      </c>
      <c r="K347" s="2" t="s">
        <v>411</v>
      </c>
      <c r="L347" s="3">
        <v>0.36805555555555558</v>
      </c>
      <c r="M347" s="2" t="s">
        <v>521</v>
      </c>
      <c r="N347" s="2" t="s">
        <v>500</v>
      </c>
      <c r="O347" s="2"/>
    </row>
    <row r="348" spans="1:15" x14ac:dyDescent="0.25">
      <c r="A348" s="5" t="s">
        <v>15</v>
      </c>
      <c r="B348" s="5" t="str">
        <f>"009940283641"</f>
        <v>009940283641</v>
      </c>
      <c r="C348" s="5" t="s">
        <v>174</v>
      </c>
      <c r="D348" s="5">
        <v>1</v>
      </c>
      <c r="E348" s="5" t="str">
        <f>"1162757745"</f>
        <v>1162757745</v>
      </c>
      <c r="F348" s="5" t="s">
        <v>17</v>
      </c>
      <c r="G348" s="5" t="s">
        <v>18</v>
      </c>
      <c r="H348" s="5" t="s">
        <v>18</v>
      </c>
      <c r="I348" s="5" t="s">
        <v>63</v>
      </c>
      <c r="J348" s="5" t="s">
        <v>53</v>
      </c>
      <c r="K348" s="5" t="s">
        <v>1084</v>
      </c>
      <c r="L348" s="9">
        <v>0.4055555555555555</v>
      </c>
      <c r="M348" s="5" t="s">
        <v>1247</v>
      </c>
      <c r="N348" s="5" t="s">
        <v>500</v>
      </c>
      <c r="O348" s="5" t="s">
        <v>1248</v>
      </c>
    </row>
    <row r="349" spans="1:15" x14ac:dyDescent="0.25">
      <c r="A349" s="5" t="s">
        <v>15</v>
      </c>
      <c r="B349" s="5" t="str">
        <f>"FES1162767932"</f>
        <v>FES1162767932</v>
      </c>
      <c r="C349" s="5" t="s">
        <v>174</v>
      </c>
      <c r="D349" s="5">
        <v>1</v>
      </c>
      <c r="E349" s="5" t="str">
        <f>"2170753331"</f>
        <v>2170753331</v>
      </c>
      <c r="F349" s="5" t="s">
        <v>17</v>
      </c>
      <c r="G349" s="5" t="s">
        <v>18</v>
      </c>
      <c r="H349" s="5" t="s">
        <v>25</v>
      </c>
      <c r="I349" s="5" t="s">
        <v>26</v>
      </c>
      <c r="J349" s="5" t="s">
        <v>75</v>
      </c>
      <c r="K349" s="5" t="s">
        <v>411</v>
      </c>
      <c r="L349" s="9">
        <v>0.3520833333333333</v>
      </c>
      <c r="M349" s="5" t="s">
        <v>518</v>
      </c>
      <c r="N349" s="5" t="s">
        <v>500</v>
      </c>
      <c r="O349" s="5"/>
    </row>
    <row r="350" spans="1:15" x14ac:dyDescent="0.25">
      <c r="A350" s="2" t="s">
        <v>15</v>
      </c>
      <c r="B350" s="2" t="str">
        <f>"FES1162767683"</f>
        <v>FES1162767683</v>
      </c>
      <c r="C350" s="2" t="s">
        <v>174</v>
      </c>
      <c r="D350" s="2">
        <v>1</v>
      </c>
      <c r="E350" s="2" t="str">
        <f>"2170755633"</f>
        <v>2170755633</v>
      </c>
      <c r="F350" s="2" t="s">
        <v>17</v>
      </c>
      <c r="G350" s="2" t="s">
        <v>18</v>
      </c>
      <c r="H350" s="2" t="s">
        <v>78</v>
      </c>
      <c r="I350" s="2" t="s">
        <v>79</v>
      </c>
      <c r="J350" s="2" t="s">
        <v>446</v>
      </c>
      <c r="K350" s="2" t="s">
        <v>698</v>
      </c>
      <c r="L350" s="3">
        <v>0.41666666666666669</v>
      </c>
      <c r="M350" s="2" t="s">
        <v>800</v>
      </c>
      <c r="N350" s="2" t="s">
        <v>500</v>
      </c>
      <c r="O350" s="2"/>
    </row>
    <row r="351" spans="1:15" x14ac:dyDescent="0.25">
      <c r="A351" s="2" t="s">
        <v>15</v>
      </c>
      <c r="B351" s="2" t="str">
        <f>"FES1162767918"</f>
        <v>FES1162767918</v>
      </c>
      <c r="C351" s="2" t="s">
        <v>174</v>
      </c>
      <c r="D351" s="2">
        <v>1</v>
      </c>
      <c r="E351" s="2" t="str">
        <f>"2170749630"</f>
        <v>2170749630</v>
      </c>
      <c r="F351" s="2" t="s">
        <v>17</v>
      </c>
      <c r="G351" s="2" t="s">
        <v>18</v>
      </c>
      <c r="H351" s="2" t="s">
        <v>25</v>
      </c>
      <c r="I351" s="2" t="s">
        <v>42</v>
      </c>
      <c r="J351" s="2" t="s">
        <v>416</v>
      </c>
      <c r="K351" s="2" t="s">
        <v>411</v>
      </c>
      <c r="L351" s="3">
        <v>0.53472222222222221</v>
      </c>
      <c r="M351" s="2" t="s">
        <v>517</v>
      </c>
      <c r="N351" s="2" t="s">
        <v>500</v>
      </c>
      <c r="O351" s="2"/>
    </row>
    <row r="352" spans="1:15" x14ac:dyDescent="0.25">
      <c r="A352" s="2" t="s">
        <v>15</v>
      </c>
      <c r="B352" s="2" t="str">
        <f>"FES1162767890"</f>
        <v>FES1162767890</v>
      </c>
      <c r="C352" s="2" t="s">
        <v>174</v>
      </c>
      <c r="D352" s="2">
        <v>1</v>
      </c>
      <c r="E352" s="2" t="str">
        <f>"2170755864"</f>
        <v>2170755864</v>
      </c>
      <c r="F352" s="2" t="s">
        <v>17</v>
      </c>
      <c r="G352" s="2" t="s">
        <v>18</v>
      </c>
      <c r="H352" s="2" t="s">
        <v>25</v>
      </c>
      <c r="I352" s="2" t="s">
        <v>26</v>
      </c>
      <c r="J352" s="2" t="s">
        <v>75</v>
      </c>
      <c r="K352" s="2" t="s">
        <v>411</v>
      </c>
      <c r="L352" s="3">
        <v>0.35138888888888892</v>
      </c>
      <c r="M352" s="2" t="s">
        <v>518</v>
      </c>
      <c r="N352" s="2" t="s">
        <v>500</v>
      </c>
      <c r="O352" s="2"/>
    </row>
    <row r="353" spans="1:15" x14ac:dyDescent="0.25">
      <c r="A353" s="2" t="s">
        <v>15</v>
      </c>
      <c r="B353" s="2" t="str">
        <f>"FES1162767807"</f>
        <v>FES1162767807</v>
      </c>
      <c r="C353" s="2" t="s">
        <v>174</v>
      </c>
      <c r="D353" s="2">
        <v>1</v>
      </c>
      <c r="E353" s="2" t="str">
        <f>"2170754324"</f>
        <v>2170754324</v>
      </c>
      <c r="F353" s="2" t="s">
        <v>17</v>
      </c>
      <c r="G353" s="2" t="s">
        <v>18</v>
      </c>
      <c r="H353" s="2" t="s">
        <v>19</v>
      </c>
      <c r="I353" s="2" t="s">
        <v>20</v>
      </c>
      <c r="J353" s="2" t="s">
        <v>447</v>
      </c>
      <c r="K353" s="2" t="s">
        <v>411</v>
      </c>
      <c r="L353" s="3">
        <v>0.30416666666666664</v>
      </c>
      <c r="M353" s="2" t="s">
        <v>448</v>
      </c>
      <c r="N353" s="2" t="s">
        <v>500</v>
      </c>
      <c r="O353" s="2"/>
    </row>
    <row r="354" spans="1:15" x14ac:dyDescent="0.25">
      <c r="A354" s="2" t="s">
        <v>15</v>
      </c>
      <c r="B354" s="2" t="str">
        <f>"FES1162767830"</f>
        <v>FES1162767830</v>
      </c>
      <c r="C354" s="2" t="s">
        <v>174</v>
      </c>
      <c r="D354" s="2">
        <v>1</v>
      </c>
      <c r="E354" s="2" t="str">
        <f>"2170755780"</f>
        <v>2170755780</v>
      </c>
      <c r="F354" s="2" t="s">
        <v>17</v>
      </c>
      <c r="G354" s="2" t="s">
        <v>18</v>
      </c>
      <c r="H354" s="2" t="s">
        <v>78</v>
      </c>
      <c r="I354" s="2" t="s">
        <v>79</v>
      </c>
      <c r="J354" s="2" t="s">
        <v>81</v>
      </c>
      <c r="K354" s="2" t="s">
        <v>411</v>
      </c>
      <c r="L354" s="3">
        <v>0.50069444444444444</v>
      </c>
      <c r="M354" s="2" t="s">
        <v>553</v>
      </c>
      <c r="N354" s="2" t="s">
        <v>500</v>
      </c>
      <c r="O354" s="2"/>
    </row>
    <row r="355" spans="1:15" x14ac:dyDescent="0.25">
      <c r="A355" s="2" t="s">
        <v>15</v>
      </c>
      <c r="B355" s="2" t="str">
        <f>"FES1162767811"</f>
        <v>FES1162767811</v>
      </c>
      <c r="C355" s="2" t="s">
        <v>174</v>
      </c>
      <c r="D355" s="2">
        <v>1</v>
      </c>
      <c r="E355" s="2" t="str">
        <f>"2170755415"</f>
        <v>2170755415</v>
      </c>
      <c r="F355" s="2" t="s">
        <v>17</v>
      </c>
      <c r="G355" s="2" t="s">
        <v>18</v>
      </c>
      <c r="H355" s="2" t="s">
        <v>19</v>
      </c>
      <c r="I355" s="2" t="s">
        <v>73</v>
      </c>
      <c r="J355" s="2" t="s">
        <v>74</v>
      </c>
      <c r="K355" s="2" t="s">
        <v>411</v>
      </c>
      <c r="L355" s="3">
        <v>0.3979166666666667</v>
      </c>
      <c r="M355" s="2" t="s">
        <v>195</v>
      </c>
      <c r="N355" s="2" t="s">
        <v>500</v>
      </c>
      <c r="O355" s="2"/>
    </row>
    <row r="356" spans="1:15" x14ac:dyDescent="0.25">
      <c r="A356" s="2" t="s">
        <v>15</v>
      </c>
      <c r="B356" s="2" t="str">
        <f>"FES1162767888"</f>
        <v>FES1162767888</v>
      </c>
      <c r="C356" s="2" t="s">
        <v>174</v>
      </c>
      <c r="D356" s="2">
        <v>1</v>
      </c>
      <c r="E356" s="2" t="str">
        <f>"2170755861"</f>
        <v>2170755861</v>
      </c>
      <c r="F356" s="2" t="s">
        <v>17</v>
      </c>
      <c r="G356" s="2" t="s">
        <v>18</v>
      </c>
      <c r="H356" s="2" t="s">
        <v>25</v>
      </c>
      <c r="I356" s="2" t="s">
        <v>26</v>
      </c>
      <c r="J356" s="2" t="s">
        <v>27</v>
      </c>
      <c r="K356" s="2" t="s">
        <v>411</v>
      </c>
      <c r="L356" s="3">
        <v>0.36874999999999997</v>
      </c>
      <c r="M356" s="2" t="s">
        <v>521</v>
      </c>
      <c r="N356" s="2" t="s">
        <v>500</v>
      </c>
      <c r="O356" s="2"/>
    </row>
    <row r="357" spans="1:15" x14ac:dyDescent="0.25">
      <c r="A357" s="2" t="s">
        <v>15</v>
      </c>
      <c r="B357" s="2" t="str">
        <f>"FES1162767823"</f>
        <v>FES1162767823</v>
      </c>
      <c r="C357" s="2" t="s">
        <v>174</v>
      </c>
      <c r="D357" s="2">
        <v>1</v>
      </c>
      <c r="E357" s="2" t="str">
        <f>"2170755764"</f>
        <v>2170755764</v>
      </c>
      <c r="F357" s="2" t="s">
        <v>17</v>
      </c>
      <c r="G357" s="2" t="s">
        <v>18</v>
      </c>
      <c r="H357" s="2" t="s">
        <v>78</v>
      </c>
      <c r="I357" s="2" t="s">
        <v>79</v>
      </c>
      <c r="J357" s="2" t="s">
        <v>449</v>
      </c>
      <c r="K357" s="2" t="s">
        <v>411</v>
      </c>
      <c r="L357" s="3">
        <v>0.4236111111111111</v>
      </c>
      <c r="M357" s="2" t="s">
        <v>554</v>
      </c>
      <c r="N357" s="2" t="s">
        <v>500</v>
      </c>
      <c r="O357" s="2"/>
    </row>
    <row r="358" spans="1:15" x14ac:dyDescent="0.25">
      <c r="A358" s="2" t="s">
        <v>15</v>
      </c>
      <c r="B358" s="2" t="str">
        <f>"FES1162767831"</f>
        <v>FES1162767831</v>
      </c>
      <c r="C358" s="2" t="s">
        <v>174</v>
      </c>
      <c r="D358" s="2">
        <v>1</v>
      </c>
      <c r="E358" s="2" t="str">
        <f>"2170755781"</f>
        <v>2170755781</v>
      </c>
      <c r="F358" s="2" t="s">
        <v>17</v>
      </c>
      <c r="G358" s="2" t="s">
        <v>18</v>
      </c>
      <c r="H358" s="2" t="s">
        <v>33</v>
      </c>
      <c r="I358" s="2" t="s">
        <v>34</v>
      </c>
      <c r="J358" s="2" t="s">
        <v>71</v>
      </c>
      <c r="K358" s="2" t="s">
        <v>411</v>
      </c>
      <c r="L358" s="3">
        <v>0.43333333333333335</v>
      </c>
      <c r="M358" s="2" t="s">
        <v>545</v>
      </c>
      <c r="N358" s="2" t="s">
        <v>500</v>
      </c>
      <c r="O358" s="2"/>
    </row>
    <row r="359" spans="1:15" x14ac:dyDescent="0.25">
      <c r="A359" s="2" t="s">
        <v>15</v>
      </c>
      <c r="B359" s="2" t="str">
        <f>"FES1162767926"</f>
        <v>FES1162767926</v>
      </c>
      <c r="C359" s="2" t="s">
        <v>174</v>
      </c>
      <c r="D359" s="2">
        <v>1</v>
      </c>
      <c r="E359" s="2" t="str">
        <f>"2170753083"</f>
        <v>2170753083</v>
      </c>
      <c r="F359" s="2" t="s">
        <v>17</v>
      </c>
      <c r="G359" s="2" t="s">
        <v>18</v>
      </c>
      <c r="H359" s="2" t="s">
        <v>30</v>
      </c>
      <c r="I359" s="2" t="s">
        <v>147</v>
      </c>
      <c r="J359" s="2" t="s">
        <v>148</v>
      </c>
      <c r="K359" s="2" t="s">
        <v>411</v>
      </c>
      <c r="L359" s="3">
        <v>0.43333333333333335</v>
      </c>
      <c r="M359" s="2" t="s">
        <v>555</v>
      </c>
      <c r="N359" s="2" t="s">
        <v>500</v>
      </c>
      <c r="O359" s="2"/>
    </row>
    <row r="360" spans="1:15" x14ac:dyDescent="0.25">
      <c r="A360" s="2" t="s">
        <v>15</v>
      </c>
      <c r="B360" s="2" t="str">
        <f>"FES1162767937"</f>
        <v>FES1162767937</v>
      </c>
      <c r="C360" s="2" t="s">
        <v>174</v>
      </c>
      <c r="D360" s="2">
        <v>1</v>
      </c>
      <c r="E360" s="2" t="str">
        <f>"2170753429"</f>
        <v>2170753429</v>
      </c>
      <c r="F360" s="2" t="s">
        <v>17</v>
      </c>
      <c r="G360" s="2" t="s">
        <v>18</v>
      </c>
      <c r="H360" s="2" t="s">
        <v>25</v>
      </c>
      <c r="I360" s="2" t="s">
        <v>26</v>
      </c>
      <c r="J360" s="2" t="s">
        <v>450</v>
      </c>
      <c r="K360" s="2" t="s">
        <v>411</v>
      </c>
      <c r="L360" s="3">
        <v>0.39374999999999999</v>
      </c>
      <c r="M360" s="2" t="s">
        <v>556</v>
      </c>
      <c r="N360" s="2" t="s">
        <v>500</v>
      </c>
      <c r="O360" s="2"/>
    </row>
    <row r="361" spans="1:15" x14ac:dyDescent="0.25">
      <c r="A361" s="2" t="s">
        <v>15</v>
      </c>
      <c r="B361" s="2" t="str">
        <f>"FES1162767943"</f>
        <v>FES1162767943</v>
      </c>
      <c r="C361" s="2" t="s">
        <v>174</v>
      </c>
      <c r="D361" s="2">
        <v>1</v>
      </c>
      <c r="E361" s="2" t="str">
        <f>"2170754924"</f>
        <v>2170754924</v>
      </c>
      <c r="F361" s="2" t="s">
        <v>17</v>
      </c>
      <c r="G361" s="2" t="s">
        <v>18</v>
      </c>
      <c r="H361" s="2" t="s">
        <v>25</v>
      </c>
      <c r="I361" s="2" t="s">
        <v>26</v>
      </c>
      <c r="J361" s="2" t="s">
        <v>27</v>
      </c>
      <c r="K361" s="2" t="s">
        <v>411</v>
      </c>
      <c r="L361" s="3">
        <v>0.36874999999999997</v>
      </c>
      <c r="M361" s="2" t="s">
        <v>521</v>
      </c>
      <c r="N361" s="2" t="s">
        <v>500</v>
      </c>
      <c r="O361" s="2"/>
    </row>
    <row r="362" spans="1:15" x14ac:dyDescent="0.25">
      <c r="A362" s="2" t="s">
        <v>15</v>
      </c>
      <c r="B362" s="2" t="str">
        <f>"FES1162767889"</f>
        <v>FES1162767889</v>
      </c>
      <c r="C362" s="2" t="s">
        <v>174</v>
      </c>
      <c r="D362" s="2">
        <v>1</v>
      </c>
      <c r="E362" s="2" t="str">
        <f>"2170755863"</f>
        <v>2170755863</v>
      </c>
      <c r="F362" s="2" t="s">
        <v>17</v>
      </c>
      <c r="G362" s="2" t="s">
        <v>18</v>
      </c>
      <c r="H362" s="2" t="s">
        <v>18</v>
      </c>
      <c r="I362" s="2" t="s">
        <v>50</v>
      </c>
      <c r="J362" s="2" t="s">
        <v>51</v>
      </c>
      <c r="K362" s="2" t="s">
        <v>411</v>
      </c>
      <c r="L362" s="3">
        <v>0.46388888888888885</v>
      </c>
      <c r="M362" s="2" t="s">
        <v>557</v>
      </c>
      <c r="N362" s="2" t="s">
        <v>500</v>
      </c>
      <c r="O362" s="2"/>
    </row>
    <row r="363" spans="1:15" x14ac:dyDescent="0.25">
      <c r="A363" s="2" t="s">
        <v>15</v>
      </c>
      <c r="B363" s="2" t="str">
        <f>"FES1162767882"</f>
        <v>FES1162767882</v>
      </c>
      <c r="C363" s="2" t="s">
        <v>174</v>
      </c>
      <c r="D363" s="2">
        <v>1</v>
      </c>
      <c r="E363" s="2" t="str">
        <f>"2170755705"</f>
        <v>2170755705</v>
      </c>
      <c r="F363" s="2" t="s">
        <v>17</v>
      </c>
      <c r="G363" s="2" t="s">
        <v>18</v>
      </c>
      <c r="H363" s="2" t="s">
        <v>18</v>
      </c>
      <c r="I363" s="2" t="s">
        <v>50</v>
      </c>
      <c r="J363" s="2" t="s">
        <v>451</v>
      </c>
      <c r="K363" s="2" t="s">
        <v>411</v>
      </c>
      <c r="L363" s="3">
        <v>0.41666666666666669</v>
      </c>
      <c r="M363" s="2" t="s">
        <v>558</v>
      </c>
      <c r="N363" s="2" t="s">
        <v>500</v>
      </c>
      <c r="O363" s="2"/>
    </row>
    <row r="364" spans="1:15" x14ac:dyDescent="0.25">
      <c r="A364" s="2" t="s">
        <v>15</v>
      </c>
      <c r="B364" s="2" t="str">
        <f>"FES1162767895"</f>
        <v>FES1162767895</v>
      </c>
      <c r="C364" s="2" t="s">
        <v>174</v>
      </c>
      <c r="D364" s="2">
        <v>1</v>
      </c>
      <c r="E364" s="2" t="str">
        <f>"2170755875"</f>
        <v>2170755875</v>
      </c>
      <c r="F364" s="2" t="s">
        <v>17</v>
      </c>
      <c r="G364" s="2" t="s">
        <v>18</v>
      </c>
      <c r="H364" s="2" t="s">
        <v>88</v>
      </c>
      <c r="I364" s="2" t="s">
        <v>109</v>
      </c>
      <c r="J364" s="2" t="s">
        <v>452</v>
      </c>
      <c r="K364" s="2" t="s">
        <v>411</v>
      </c>
      <c r="L364" s="3">
        <v>0.4861111111111111</v>
      </c>
      <c r="M364" s="2" t="s">
        <v>452</v>
      </c>
      <c r="N364" s="2" t="s">
        <v>500</v>
      </c>
      <c r="O364" s="2"/>
    </row>
    <row r="365" spans="1:15" x14ac:dyDescent="0.25">
      <c r="A365" s="2" t="s">
        <v>15</v>
      </c>
      <c r="B365" s="2" t="str">
        <f>"FES1162767860"</f>
        <v>FES1162767860</v>
      </c>
      <c r="C365" s="2" t="s">
        <v>174</v>
      </c>
      <c r="D365" s="2">
        <v>1</v>
      </c>
      <c r="E365" s="2" t="str">
        <f>"2170749892"</f>
        <v>2170749892</v>
      </c>
      <c r="F365" s="2" t="s">
        <v>17</v>
      </c>
      <c r="G365" s="2" t="s">
        <v>18</v>
      </c>
      <c r="H365" s="2" t="s">
        <v>18</v>
      </c>
      <c r="I365" s="2" t="s">
        <v>46</v>
      </c>
      <c r="J365" s="2" t="s">
        <v>453</v>
      </c>
      <c r="K365" s="2" t="s">
        <v>411</v>
      </c>
      <c r="L365" s="3">
        <v>0.4375</v>
      </c>
      <c r="M365" s="2" t="s">
        <v>559</v>
      </c>
      <c r="N365" s="2" t="s">
        <v>500</v>
      </c>
      <c r="O365" s="2"/>
    </row>
    <row r="366" spans="1:15" x14ac:dyDescent="0.25">
      <c r="A366" s="2" t="s">
        <v>15</v>
      </c>
      <c r="B366" s="2" t="str">
        <f>"FES1162767797"</f>
        <v>FES1162767797</v>
      </c>
      <c r="C366" s="2" t="s">
        <v>174</v>
      </c>
      <c r="D366" s="2">
        <v>1</v>
      </c>
      <c r="E366" s="2" t="str">
        <f>"2170752125"</f>
        <v>2170752125</v>
      </c>
      <c r="F366" s="2" t="s">
        <v>17</v>
      </c>
      <c r="G366" s="2" t="s">
        <v>18</v>
      </c>
      <c r="H366" s="2" t="s">
        <v>18</v>
      </c>
      <c r="I366" s="2" t="s">
        <v>46</v>
      </c>
      <c r="J366" s="2" t="s">
        <v>139</v>
      </c>
      <c r="K366" s="2" t="s">
        <v>411</v>
      </c>
      <c r="L366" s="3">
        <v>0.30208333333333331</v>
      </c>
      <c r="M366" s="2" t="s">
        <v>560</v>
      </c>
      <c r="N366" s="2" t="s">
        <v>500</v>
      </c>
      <c r="O366" s="2"/>
    </row>
    <row r="367" spans="1:15" x14ac:dyDescent="0.25">
      <c r="A367" s="2" t="s">
        <v>15</v>
      </c>
      <c r="B367" s="2" t="str">
        <f>"FES1162767947"</f>
        <v>FES1162767947</v>
      </c>
      <c r="C367" s="2" t="s">
        <v>174</v>
      </c>
      <c r="D367" s="2">
        <v>2</v>
      </c>
      <c r="E367" s="2" t="str">
        <f>"2170752862"</f>
        <v>2170752862</v>
      </c>
      <c r="F367" s="2" t="s">
        <v>17</v>
      </c>
      <c r="G367" s="2" t="s">
        <v>18</v>
      </c>
      <c r="H367" s="2" t="s">
        <v>36</v>
      </c>
      <c r="I367" s="2" t="s">
        <v>37</v>
      </c>
      <c r="J367" s="2" t="s">
        <v>162</v>
      </c>
      <c r="K367" s="2" t="s">
        <v>411</v>
      </c>
      <c r="L367" s="3">
        <v>0.33402777777777781</v>
      </c>
      <c r="M367" s="2" t="s">
        <v>268</v>
      </c>
      <c r="N367" s="2" t="s">
        <v>500</v>
      </c>
      <c r="O367" s="2"/>
    </row>
    <row r="368" spans="1:15" x14ac:dyDescent="0.25">
      <c r="A368" s="2" t="s">
        <v>15</v>
      </c>
      <c r="B368" s="2" t="str">
        <f>"FES1162767964"</f>
        <v>FES1162767964</v>
      </c>
      <c r="C368" s="2" t="s">
        <v>174</v>
      </c>
      <c r="D368" s="2">
        <v>1</v>
      </c>
      <c r="E368" s="2" t="str">
        <f>"2170755904"</f>
        <v>2170755904</v>
      </c>
      <c r="F368" s="2" t="s">
        <v>17</v>
      </c>
      <c r="G368" s="2" t="s">
        <v>18</v>
      </c>
      <c r="H368" s="2" t="s">
        <v>25</v>
      </c>
      <c r="I368" s="2" t="s">
        <v>26</v>
      </c>
      <c r="J368" s="2" t="s">
        <v>100</v>
      </c>
      <c r="K368" s="2" t="s">
        <v>411</v>
      </c>
      <c r="L368" s="3">
        <v>0.32777777777777778</v>
      </c>
      <c r="M368" s="2" t="s">
        <v>454</v>
      </c>
      <c r="N368" s="2" t="s">
        <v>500</v>
      </c>
      <c r="O368" s="2"/>
    </row>
    <row r="369" spans="1:15" x14ac:dyDescent="0.25">
      <c r="A369" s="2" t="s">
        <v>15</v>
      </c>
      <c r="B369" s="2" t="str">
        <f>"FES1162767963"</f>
        <v>FES1162767963</v>
      </c>
      <c r="C369" s="2" t="s">
        <v>174</v>
      </c>
      <c r="D369" s="2">
        <v>1</v>
      </c>
      <c r="E369" s="2" t="str">
        <f>"2170755903"</f>
        <v>2170755903</v>
      </c>
      <c r="F369" s="2" t="s">
        <v>17</v>
      </c>
      <c r="G369" s="2" t="s">
        <v>18</v>
      </c>
      <c r="H369" s="2" t="s">
        <v>25</v>
      </c>
      <c r="I369" s="2" t="s">
        <v>26</v>
      </c>
      <c r="J369" s="2" t="s">
        <v>455</v>
      </c>
      <c r="K369" s="2" t="s">
        <v>411</v>
      </c>
      <c r="L369" s="3">
        <v>0.38750000000000001</v>
      </c>
      <c r="M369" s="2" t="s">
        <v>561</v>
      </c>
      <c r="N369" s="2" t="s">
        <v>500</v>
      </c>
      <c r="O369" s="2"/>
    </row>
    <row r="370" spans="1:15" x14ac:dyDescent="0.25">
      <c r="A370" s="2" t="s">
        <v>15</v>
      </c>
      <c r="B370" s="2" t="str">
        <f>"FES1162767982"</f>
        <v>FES1162767982</v>
      </c>
      <c r="C370" s="2" t="s">
        <v>174</v>
      </c>
      <c r="D370" s="2">
        <v>1</v>
      </c>
      <c r="E370" s="2" t="str">
        <f>"2170755929"</f>
        <v>2170755929</v>
      </c>
      <c r="F370" s="2" t="s">
        <v>17</v>
      </c>
      <c r="G370" s="2" t="s">
        <v>18</v>
      </c>
      <c r="H370" s="2" t="s">
        <v>25</v>
      </c>
      <c r="I370" s="2" t="s">
        <v>39</v>
      </c>
      <c r="J370" s="2" t="s">
        <v>40</v>
      </c>
      <c r="K370" s="2" t="s">
        <v>411</v>
      </c>
      <c r="L370" s="3">
        <v>0.48472222222222222</v>
      </c>
      <c r="M370" s="2" t="s">
        <v>326</v>
      </c>
      <c r="N370" s="2" t="s">
        <v>500</v>
      </c>
      <c r="O370" s="2"/>
    </row>
    <row r="371" spans="1:15" x14ac:dyDescent="0.25">
      <c r="A371" s="2" t="s">
        <v>15</v>
      </c>
      <c r="B371" s="2" t="str">
        <f>"FES1162767851"</f>
        <v>FES1162767851</v>
      </c>
      <c r="C371" s="2" t="s">
        <v>174</v>
      </c>
      <c r="D371" s="2">
        <v>1</v>
      </c>
      <c r="E371" s="2" t="str">
        <f>"2170755787"</f>
        <v>2170755787</v>
      </c>
      <c r="F371" s="2" t="s">
        <v>17</v>
      </c>
      <c r="G371" s="2" t="s">
        <v>18</v>
      </c>
      <c r="H371" s="2" t="s">
        <v>18</v>
      </c>
      <c r="I371" s="2" t="s">
        <v>107</v>
      </c>
      <c r="J371" s="2" t="s">
        <v>456</v>
      </c>
      <c r="K371" s="2" t="s">
        <v>411</v>
      </c>
      <c r="L371" s="3">
        <v>0.375</v>
      </c>
      <c r="M371" s="2" t="s">
        <v>562</v>
      </c>
      <c r="N371" s="2" t="s">
        <v>500</v>
      </c>
      <c r="O371" s="2"/>
    </row>
    <row r="372" spans="1:15" x14ac:dyDescent="0.25">
      <c r="A372" s="2" t="s">
        <v>15</v>
      </c>
      <c r="B372" s="2" t="str">
        <f>"FES1162767898"</f>
        <v>FES1162767898</v>
      </c>
      <c r="C372" s="2" t="s">
        <v>174</v>
      </c>
      <c r="D372" s="2">
        <v>2</v>
      </c>
      <c r="E372" s="2" t="str">
        <f>"2170755293"</f>
        <v>2170755293</v>
      </c>
      <c r="F372" s="2" t="s">
        <v>17</v>
      </c>
      <c r="G372" s="2" t="s">
        <v>18</v>
      </c>
      <c r="H372" s="2" t="s">
        <v>18</v>
      </c>
      <c r="I372" s="2" t="s">
        <v>82</v>
      </c>
      <c r="J372" s="2" t="s">
        <v>83</v>
      </c>
      <c r="K372" s="2" t="s">
        <v>411</v>
      </c>
      <c r="L372" s="3">
        <v>0.42708333333333331</v>
      </c>
      <c r="M372" s="2" t="s">
        <v>563</v>
      </c>
      <c r="N372" s="2" t="s">
        <v>500</v>
      </c>
      <c r="O372" s="2"/>
    </row>
    <row r="373" spans="1:15" x14ac:dyDescent="0.25">
      <c r="A373" s="2" t="s">
        <v>15</v>
      </c>
      <c r="B373" s="2" t="str">
        <f>"FES1162767865"</f>
        <v>FES1162767865</v>
      </c>
      <c r="C373" s="2" t="s">
        <v>174</v>
      </c>
      <c r="D373" s="2">
        <v>1</v>
      </c>
      <c r="E373" s="2" t="str">
        <f>"2170751727"</f>
        <v>2170751727</v>
      </c>
      <c r="F373" s="2" t="s">
        <v>17</v>
      </c>
      <c r="G373" s="2" t="s">
        <v>18</v>
      </c>
      <c r="H373" s="2" t="s">
        <v>18</v>
      </c>
      <c r="I373" s="2" t="s">
        <v>52</v>
      </c>
      <c r="J373" s="2" t="s">
        <v>53</v>
      </c>
      <c r="K373" s="2" t="s">
        <v>411</v>
      </c>
      <c r="L373" s="3">
        <v>0.49652777777777773</v>
      </c>
      <c r="M373" s="2" t="s">
        <v>564</v>
      </c>
      <c r="N373" s="2" t="s">
        <v>500</v>
      </c>
      <c r="O373" s="2"/>
    </row>
    <row r="374" spans="1:15" x14ac:dyDescent="0.25">
      <c r="A374" s="2" t="s">
        <v>15</v>
      </c>
      <c r="B374" s="2" t="str">
        <f>"FES1162767902"</f>
        <v>FES1162767902</v>
      </c>
      <c r="C374" s="2" t="s">
        <v>174</v>
      </c>
      <c r="D374" s="2">
        <v>1</v>
      </c>
      <c r="E374" s="2" t="str">
        <f>"2170755881"</f>
        <v>2170755881</v>
      </c>
      <c r="F374" s="2" t="s">
        <v>17</v>
      </c>
      <c r="G374" s="2" t="s">
        <v>18</v>
      </c>
      <c r="H374" s="2" t="s">
        <v>18</v>
      </c>
      <c r="I374" s="2" t="s">
        <v>329</v>
      </c>
      <c r="J374" s="2" t="s">
        <v>457</v>
      </c>
      <c r="K374" s="2" t="s">
        <v>411</v>
      </c>
      <c r="L374" s="3">
        <v>0.41666666666666669</v>
      </c>
      <c r="M374" s="2" t="s">
        <v>565</v>
      </c>
      <c r="N374" s="2" t="s">
        <v>500</v>
      </c>
      <c r="O374" s="2"/>
    </row>
    <row r="375" spans="1:15" x14ac:dyDescent="0.25">
      <c r="A375" s="2" t="s">
        <v>15</v>
      </c>
      <c r="B375" s="2" t="str">
        <f>"FES1162767899"</f>
        <v>FES1162767899</v>
      </c>
      <c r="C375" s="2" t="s">
        <v>174</v>
      </c>
      <c r="D375" s="2">
        <v>1</v>
      </c>
      <c r="E375" s="2" t="str">
        <f>"2170755876"</f>
        <v>2170755876</v>
      </c>
      <c r="F375" s="2" t="s">
        <v>17</v>
      </c>
      <c r="G375" s="2" t="s">
        <v>18</v>
      </c>
      <c r="H375" s="2" t="s">
        <v>18</v>
      </c>
      <c r="I375" s="2" t="s">
        <v>116</v>
      </c>
      <c r="J375" s="2" t="s">
        <v>169</v>
      </c>
      <c r="K375" s="2" t="s">
        <v>411</v>
      </c>
      <c r="L375" s="3">
        <v>0.37986111111111115</v>
      </c>
      <c r="M375" s="2" t="s">
        <v>548</v>
      </c>
      <c r="N375" s="2" t="s">
        <v>500</v>
      </c>
      <c r="O375" s="2"/>
    </row>
    <row r="376" spans="1:15" x14ac:dyDescent="0.25">
      <c r="A376" s="2" t="s">
        <v>15</v>
      </c>
      <c r="B376" s="2" t="str">
        <f>"FES1162767682"</f>
        <v>FES1162767682</v>
      </c>
      <c r="C376" s="2" t="s">
        <v>174</v>
      </c>
      <c r="D376" s="2">
        <v>1</v>
      </c>
      <c r="E376" s="2" t="str">
        <f>"2170755632"</f>
        <v>2170755632</v>
      </c>
      <c r="F376" s="2" t="s">
        <v>205</v>
      </c>
      <c r="G376" s="2" t="s">
        <v>206</v>
      </c>
      <c r="H376" s="2" t="s">
        <v>78</v>
      </c>
      <c r="I376" s="2" t="s">
        <v>79</v>
      </c>
      <c r="J376" s="2" t="s">
        <v>80</v>
      </c>
      <c r="K376" s="2" t="s">
        <v>698</v>
      </c>
      <c r="L376" s="3">
        <v>0.41666666666666669</v>
      </c>
      <c r="M376" s="2" t="s">
        <v>800</v>
      </c>
      <c r="N376" s="2" t="s">
        <v>500</v>
      </c>
      <c r="O376" s="2"/>
    </row>
    <row r="377" spans="1:15" x14ac:dyDescent="0.25">
      <c r="A377" s="2" t="s">
        <v>15</v>
      </c>
      <c r="B377" s="2" t="str">
        <f>"FES1162767912"</f>
        <v>FES1162767912</v>
      </c>
      <c r="C377" s="2" t="s">
        <v>174</v>
      </c>
      <c r="D377" s="2">
        <v>1</v>
      </c>
      <c r="E377" s="2" t="str">
        <f>"2170755865"</f>
        <v>2170755865</v>
      </c>
      <c r="F377" s="2" t="s">
        <v>17</v>
      </c>
      <c r="G377" s="2" t="s">
        <v>18</v>
      </c>
      <c r="H377" s="2" t="s">
        <v>18</v>
      </c>
      <c r="I377" s="2" t="s">
        <v>290</v>
      </c>
      <c r="J377" s="2" t="s">
        <v>458</v>
      </c>
      <c r="K377" s="2" t="s">
        <v>411</v>
      </c>
      <c r="L377" s="3">
        <v>0.35555555555555557</v>
      </c>
      <c r="M377" s="2" t="s">
        <v>566</v>
      </c>
      <c r="N377" s="2" t="s">
        <v>500</v>
      </c>
      <c r="O377" s="2"/>
    </row>
    <row r="378" spans="1:15" x14ac:dyDescent="0.25">
      <c r="A378" s="2" t="s">
        <v>15</v>
      </c>
      <c r="B378" s="2" t="str">
        <f>"FES1162767841"</f>
        <v>FES1162767841</v>
      </c>
      <c r="C378" s="2" t="s">
        <v>174</v>
      </c>
      <c r="D378" s="2">
        <v>1</v>
      </c>
      <c r="E378" s="2" t="str">
        <f>"2170755807"</f>
        <v>2170755807</v>
      </c>
      <c r="F378" s="2" t="s">
        <v>17</v>
      </c>
      <c r="G378" s="2" t="s">
        <v>18</v>
      </c>
      <c r="H378" s="2" t="s">
        <v>88</v>
      </c>
      <c r="I378" s="2" t="s">
        <v>109</v>
      </c>
      <c r="J378" s="2" t="s">
        <v>110</v>
      </c>
      <c r="K378" s="2" t="s">
        <v>411</v>
      </c>
      <c r="L378" s="3">
        <v>0.42430555555555555</v>
      </c>
      <c r="M378" s="2" t="s">
        <v>224</v>
      </c>
      <c r="N378" s="2" t="s">
        <v>500</v>
      </c>
      <c r="O378" s="2"/>
    </row>
    <row r="379" spans="1:15" x14ac:dyDescent="0.25">
      <c r="A379" s="2" t="s">
        <v>15</v>
      </c>
      <c r="B379" s="2" t="str">
        <f>"FES1162767883"</f>
        <v>FES1162767883</v>
      </c>
      <c r="C379" s="2" t="s">
        <v>174</v>
      </c>
      <c r="D379" s="2">
        <v>1</v>
      </c>
      <c r="E379" s="2" t="str">
        <f>"2170755784"</f>
        <v>2170755784</v>
      </c>
      <c r="F379" s="2" t="s">
        <v>17</v>
      </c>
      <c r="G379" s="2" t="s">
        <v>18</v>
      </c>
      <c r="H379" s="2" t="s">
        <v>18</v>
      </c>
      <c r="I379" s="2" t="s">
        <v>459</v>
      </c>
      <c r="J379" s="2" t="s">
        <v>460</v>
      </c>
      <c r="K379" s="2" t="s">
        <v>411</v>
      </c>
      <c r="L379" s="3">
        <v>0.375</v>
      </c>
      <c r="M379" s="2" t="s">
        <v>567</v>
      </c>
      <c r="N379" s="2" t="s">
        <v>500</v>
      </c>
      <c r="O379" s="2"/>
    </row>
    <row r="380" spans="1:15" x14ac:dyDescent="0.25">
      <c r="A380" s="2" t="s">
        <v>15</v>
      </c>
      <c r="B380" s="2" t="str">
        <f>"FES1162767945"</f>
        <v>FES1162767945</v>
      </c>
      <c r="C380" s="2" t="s">
        <v>174</v>
      </c>
      <c r="D380" s="2">
        <v>1</v>
      </c>
      <c r="E380" s="2" t="str">
        <f>"2170755282"</f>
        <v>2170755282</v>
      </c>
      <c r="F380" s="2" t="s">
        <v>17</v>
      </c>
      <c r="G380" s="2" t="s">
        <v>18</v>
      </c>
      <c r="H380" s="2" t="s">
        <v>36</v>
      </c>
      <c r="I380" s="2" t="s">
        <v>37</v>
      </c>
      <c r="J380" s="2" t="s">
        <v>104</v>
      </c>
      <c r="K380" s="2" t="s">
        <v>411</v>
      </c>
      <c r="L380" s="3">
        <v>0.375</v>
      </c>
      <c r="M380" s="2" t="s">
        <v>221</v>
      </c>
      <c r="N380" s="2" t="s">
        <v>500</v>
      </c>
      <c r="O380" s="2"/>
    </row>
    <row r="381" spans="1:15" x14ac:dyDescent="0.25">
      <c r="A381" s="2" t="s">
        <v>15</v>
      </c>
      <c r="B381" s="2" t="str">
        <f>"FES1162767793"</f>
        <v>FES1162767793</v>
      </c>
      <c r="C381" s="2" t="s">
        <v>174</v>
      </c>
      <c r="D381" s="2">
        <v>1</v>
      </c>
      <c r="E381" s="2" t="str">
        <f>"2170755436"</f>
        <v>2170755436</v>
      </c>
      <c r="F381" s="2" t="s">
        <v>17</v>
      </c>
      <c r="G381" s="2" t="s">
        <v>18</v>
      </c>
      <c r="H381" s="2" t="s">
        <v>19</v>
      </c>
      <c r="I381" s="2" t="s">
        <v>20</v>
      </c>
      <c r="J381" s="2" t="s">
        <v>461</v>
      </c>
      <c r="K381" s="2" t="s">
        <v>411</v>
      </c>
      <c r="L381" s="3">
        <v>0.4069444444444445</v>
      </c>
      <c r="M381" s="2" t="s">
        <v>568</v>
      </c>
      <c r="N381" s="2" t="s">
        <v>500</v>
      </c>
      <c r="O381" s="2"/>
    </row>
    <row r="382" spans="1:15" x14ac:dyDescent="0.25">
      <c r="A382" s="2" t="s">
        <v>15</v>
      </c>
      <c r="B382" s="2" t="str">
        <f>"FES1162767835"</f>
        <v>FES1162767835</v>
      </c>
      <c r="C382" s="2" t="s">
        <v>174</v>
      </c>
      <c r="D382" s="2">
        <v>1</v>
      </c>
      <c r="E382" s="2" t="str">
        <f>"2170755795"</f>
        <v>2170755795</v>
      </c>
      <c r="F382" s="2" t="s">
        <v>17</v>
      </c>
      <c r="G382" s="2" t="s">
        <v>18</v>
      </c>
      <c r="H382" s="2" t="s">
        <v>36</v>
      </c>
      <c r="I382" s="2" t="s">
        <v>37</v>
      </c>
      <c r="J382" s="2" t="s">
        <v>462</v>
      </c>
      <c r="K382" s="2" t="s">
        <v>411</v>
      </c>
      <c r="L382" s="3">
        <v>0.37708333333333338</v>
      </c>
      <c r="M382" s="2" t="s">
        <v>569</v>
      </c>
      <c r="N382" s="2" t="s">
        <v>500</v>
      </c>
      <c r="O382" s="2"/>
    </row>
    <row r="383" spans="1:15" x14ac:dyDescent="0.25">
      <c r="A383" s="2" t="s">
        <v>15</v>
      </c>
      <c r="B383" s="2" t="str">
        <f>"FES1162767941"</f>
        <v>FES1162767941</v>
      </c>
      <c r="C383" s="2" t="s">
        <v>174</v>
      </c>
      <c r="D383" s="2">
        <v>1</v>
      </c>
      <c r="E383" s="2" t="str">
        <f>"2170754585"</f>
        <v>2170754585</v>
      </c>
      <c r="F383" s="2" t="s">
        <v>17</v>
      </c>
      <c r="G383" s="2" t="s">
        <v>18</v>
      </c>
      <c r="H383" s="2" t="s">
        <v>25</v>
      </c>
      <c r="I383" s="2" t="s">
        <v>39</v>
      </c>
      <c r="J383" s="2" t="s">
        <v>40</v>
      </c>
      <c r="K383" s="2" t="s">
        <v>411</v>
      </c>
      <c r="L383" s="3">
        <v>0.48541666666666666</v>
      </c>
      <c r="M383" s="2" t="s">
        <v>326</v>
      </c>
      <c r="N383" s="2" t="s">
        <v>500</v>
      </c>
      <c r="O383" s="2"/>
    </row>
    <row r="384" spans="1:15" x14ac:dyDescent="0.25">
      <c r="A384" s="2" t="s">
        <v>15</v>
      </c>
      <c r="B384" s="2" t="str">
        <f>"FES1162767927"</f>
        <v>FES1162767927</v>
      </c>
      <c r="C384" s="2" t="s">
        <v>174</v>
      </c>
      <c r="D384" s="2">
        <v>1</v>
      </c>
      <c r="E384" s="2" t="str">
        <f>"2170753106"</f>
        <v>2170753106</v>
      </c>
      <c r="F384" s="2" t="s">
        <v>17</v>
      </c>
      <c r="G384" s="2" t="s">
        <v>18</v>
      </c>
      <c r="H384" s="2" t="s">
        <v>18</v>
      </c>
      <c r="I384" s="2" t="s">
        <v>50</v>
      </c>
      <c r="J384" s="2" t="s">
        <v>463</v>
      </c>
      <c r="K384" s="2" t="s">
        <v>411</v>
      </c>
      <c r="L384" s="3">
        <v>0.37847222222222227</v>
      </c>
      <c r="M384" s="2" t="s">
        <v>570</v>
      </c>
      <c r="N384" s="2" t="s">
        <v>500</v>
      </c>
      <c r="O384" s="2"/>
    </row>
    <row r="385" spans="1:15" x14ac:dyDescent="0.25">
      <c r="A385" s="2" t="s">
        <v>15</v>
      </c>
      <c r="B385" s="2" t="str">
        <f>"FES1162767911"</f>
        <v>FES1162767911</v>
      </c>
      <c r="C385" s="2" t="s">
        <v>174</v>
      </c>
      <c r="D385" s="2">
        <v>1</v>
      </c>
      <c r="E385" s="2" t="str">
        <f>"2170755849"</f>
        <v>2170755849</v>
      </c>
      <c r="F385" s="2" t="s">
        <v>17</v>
      </c>
      <c r="G385" s="2" t="s">
        <v>18</v>
      </c>
      <c r="H385" s="2" t="s">
        <v>18</v>
      </c>
      <c r="I385" s="2" t="s">
        <v>52</v>
      </c>
      <c r="J385" s="2" t="s">
        <v>53</v>
      </c>
      <c r="K385" s="2" t="s">
        <v>411</v>
      </c>
      <c r="L385" s="3">
        <v>0.49652777777777773</v>
      </c>
      <c r="M385" s="2" t="s">
        <v>564</v>
      </c>
      <c r="N385" s="2" t="s">
        <v>500</v>
      </c>
      <c r="O385" s="2"/>
    </row>
    <row r="386" spans="1:15" x14ac:dyDescent="0.25">
      <c r="A386" s="2" t="s">
        <v>15</v>
      </c>
      <c r="B386" s="2" t="str">
        <f>"FES1162767988"</f>
        <v>FES1162767988</v>
      </c>
      <c r="C386" s="2" t="s">
        <v>174</v>
      </c>
      <c r="D386" s="2">
        <v>1</v>
      </c>
      <c r="E386" s="2" t="str">
        <f>"2170755934"</f>
        <v>2170755934</v>
      </c>
      <c r="F386" s="2" t="s">
        <v>17</v>
      </c>
      <c r="G386" s="2" t="s">
        <v>18</v>
      </c>
      <c r="H386" s="2" t="s">
        <v>25</v>
      </c>
      <c r="I386" s="2" t="s">
        <v>42</v>
      </c>
      <c r="J386" s="2" t="s">
        <v>416</v>
      </c>
      <c r="K386" s="2" t="s">
        <v>411</v>
      </c>
      <c r="L386" s="3">
        <v>0.53472222222222221</v>
      </c>
      <c r="M386" s="2" t="s">
        <v>517</v>
      </c>
      <c r="N386" s="2" t="s">
        <v>500</v>
      </c>
      <c r="O386" s="2"/>
    </row>
    <row r="387" spans="1:15" x14ac:dyDescent="0.25">
      <c r="A387" s="2" t="s">
        <v>15</v>
      </c>
      <c r="B387" s="2" t="str">
        <f>"FES1162767810"</f>
        <v>FES1162767810</v>
      </c>
      <c r="C387" s="2" t="s">
        <v>174</v>
      </c>
      <c r="D387" s="2">
        <v>1</v>
      </c>
      <c r="E387" s="2" t="str">
        <f>"2170754775"</f>
        <v>2170754775</v>
      </c>
      <c r="F387" s="2" t="s">
        <v>17</v>
      </c>
      <c r="G387" s="2" t="s">
        <v>18</v>
      </c>
      <c r="H387" s="2" t="s">
        <v>18</v>
      </c>
      <c r="I387" s="2" t="s">
        <v>157</v>
      </c>
      <c r="J387" s="2" t="s">
        <v>158</v>
      </c>
      <c r="K387" s="2" t="s">
        <v>411</v>
      </c>
      <c r="L387" s="3">
        <v>0.46180555555555558</v>
      </c>
      <c r="M387" s="2" t="s">
        <v>571</v>
      </c>
      <c r="N387" s="2" t="s">
        <v>500</v>
      </c>
      <c r="O387" s="2"/>
    </row>
    <row r="388" spans="1:15" x14ac:dyDescent="0.25">
      <c r="A388" s="2" t="s">
        <v>15</v>
      </c>
      <c r="B388" s="2" t="str">
        <f>"FES1162767908"</f>
        <v>FES1162767908</v>
      </c>
      <c r="C388" s="2" t="s">
        <v>174</v>
      </c>
      <c r="D388" s="2">
        <v>1</v>
      </c>
      <c r="E388" s="2" t="str">
        <f>"2170755828"</f>
        <v>2170755828</v>
      </c>
      <c r="F388" s="2" t="s">
        <v>17</v>
      </c>
      <c r="G388" s="2" t="s">
        <v>18</v>
      </c>
      <c r="H388" s="2" t="s">
        <v>19</v>
      </c>
      <c r="I388" s="2" t="s">
        <v>111</v>
      </c>
      <c r="J388" s="2" t="s">
        <v>464</v>
      </c>
      <c r="K388" s="2" t="s">
        <v>411</v>
      </c>
      <c r="L388" s="3">
        <v>0.41944444444444445</v>
      </c>
      <c r="M388" s="2" t="s">
        <v>572</v>
      </c>
      <c r="N388" s="2" t="s">
        <v>500</v>
      </c>
      <c r="O388" s="2"/>
    </row>
    <row r="389" spans="1:15" x14ac:dyDescent="0.25">
      <c r="A389" s="2" t="s">
        <v>15</v>
      </c>
      <c r="B389" s="2" t="str">
        <f>"FES1162767881"</f>
        <v>FES1162767881</v>
      </c>
      <c r="C389" s="2" t="s">
        <v>174</v>
      </c>
      <c r="D389" s="2">
        <v>1</v>
      </c>
      <c r="E389" s="2" t="str">
        <f>"2170755587"</f>
        <v>2170755587</v>
      </c>
      <c r="F389" s="2" t="s">
        <v>17</v>
      </c>
      <c r="G389" s="2" t="s">
        <v>18</v>
      </c>
      <c r="H389" s="2" t="s">
        <v>18</v>
      </c>
      <c r="I389" s="2" t="s">
        <v>459</v>
      </c>
      <c r="J389" s="2" t="s">
        <v>460</v>
      </c>
      <c r="K389" s="2" t="s">
        <v>411</v>
      </c>
      <c r="L389" s="3">
        <v>0.375</v>
      </c>
      <c r="M389" s="2" t="s">
        <v>567</v>
      </c>
      <c r="N389" s="2" t="s">
        <v>500</v>
      </c>
      <c r="O389" s="2"/>
    </row>
    <row r="390" spans="1:15" x14ac:dyDescent="0.25">
      <c r="A390" s="2" t="s">
        <v>15</v>
      </c>
      <c r="B390" s="2" t="str">
        <f>"FES1162767816"</f>
        <v>FES1162767816</v>
      </c>
      <c r="C390" s="2" t="s">
        <v>174</v>
      </c>
      <c r="D390" s="2">
        <v>1</v>
      </c>
      <c r="E390" s="2" t="str">
        <f>"2170755575"</f>
        <v>2170755575</v>
      </c>
      <c r="F390" s="2" t="s">
        <v>17</v>
      </c>
      <c r="G390" s="2" t="s">
        <v>18</v>
      </c>
      <c r="H390" s="2" t="s">
        <v>18</v>
      </c>
      <c r="I390" s="2" t="s">
        <v>63</v>
      </c>
      <c r="J390" s="2" t="s">
        <v>93</v>
      </c>
      <c r="K390" s="2" t="s">
        <v>411</v>
      </c>
      <c r="L390" s="3">
        <v>0.3756944444444445</v>
      </c>
      <c r="M390" s="2" t="s">
        <v>300</v>
      </c>
      <c r="N390" s="2" t="s">
        <v>500</v>
      </c>
      <c r="O390" s="2"/>
    </row>
    <row r="391" spans="1:15" x14ac:dyDescent="0.25">
      <c r="A391" s="2" t="s">
        <v>15</v>
      </c>
      <c r="B391" s="2" t="str">
        <f>"FES1162767834"</f>
        <v>FES1162767834</v>
      </c>
      <c r="C391" s="2" t="s">
        <v>174</v>
      </c>
      <c r="D391" s="2">
        <v>1</v>
      </c>
      <c r="E391" s="2" t="str">
        <f>"2170755793"</f>
        <v>2170755793</v>
      </c>
      <c r="F391" s="2" t="s">
        <v>17</v>
      </c>
      <c r="G391" s="2" t="s">
        <v>18</v>
      </c>
      <c r="H391" s="2" t="s">
        <v>88</v>
      </c>
      <c r="I391" s="2" t="s">
        <v>109</v>
      </c>
      <c r="J391" s="2" t="s">
        <v>141</v>
      </c>
      <c r="K391" s="2" t="s">
        <v>411</v>
      </c>
      <c r="L391" s="3">
        <v>0.41666666666666669</v>
      </c>
      <c r="M391" s="2" t="s">
        <v>513</v>
      </c>
      <c r="N391" s="2" t="s">
        <v>500</v>
      </c>
      <c r="O391" s="2"/>
    </row>
    <row r="392" spans="1:15" x14ac:dyDescent="0.25">
      <c r="A392" s="2" t="s">
        <v>15</v>
      </c>
      <c r="B392" s="2" t="str">
        <f>"FES1162767825"</f>
        <v>FES1162767825</v>
      </c>
      <c r="C392" s="2" t="s">
        <v>174</v>
      </c>
      <c r="D392" s="2">
        <v>1</v>
      </c>
      <c r="E392" s="2" t="str">
        <f>"2170755769"</f>
        <v>2170755769</v>
      </c>
      <c r="F392" s="2" t="s">
        <v>17</v>
      </c>
      <c r="G392" s="2" t="s">
        <v>18</v>
      </c>
      <c r="H392" s="2" t="s">
        <v>88</v>
      </c>
      <c r="I392" s="2" t="s">
        <v>109</v>
      </c>
      <c r="J392" s="2" t="s">
        <v>110</v>
      </c>
      <c r="K392" s="2" t="s">
        <v>411</v>
      </c>
      <c r="L392" s="3">
        <v>0.42430555555555555</v>
      </c>
      <c r="M392" s="2" t="s">
        <v>224</v>
      </c>
      <c r="N392" s="2" t="s">
        <v>500</v>
      </c>
      <c r="O392" s="2"/>
    </row>
    <row r="393" spans="1:15" x14ac:dyDescent="0.25">
      <c r="A393" s="2" t="s">
        <v>15</v>
      </c>
      <c r="B393" s="2" t="str">
        <f>"FES1162767975"</f>
        <v>FES1162767975</v>
      </c>
      <c r="C393" s="2" t="s">
        <v>174</v>
      </c>
      <c r="D393" s="2">
        <v>1</v>
      </c>
      <c r="E393" s="2" t="str">
        <f>"2170755919"</f>
        <v>2170755919</v>
      </c>
      <c r="F393" s="2" t="s">
        <v>17</v>
      </c>
      <c r="G393" s="2" t="s">
        <v>18</v>
      </c>
      <c r="H393" s="2" t="s">
        <v>18</v>
      </c>
      <c r="I393" s="2" t="s">
        <v>63</v>
      </c>
      <c r="J393" s="2" t="s">
        <v>93</v>
      </c>
      <c r="K393" s="2" t="s">
        <v>411</v>
      </c>
      <c r="L393" s="3">
        <v>0.37083333333333335</v>
      </c>
      <c r="M393" s="2" t="s">
        <v>210</v>
      </c>
      <c r="N393" s="2" t="s">
        <v>500</v>
      </c>
      <c r="O393" s="2"/>
    </row>
    <row r="394" spans="1:15" x14ac:dyDescent="0.25">
      <c r="A394" s="2" t="s">
        <v>15</v>
      </c>
      <c r="B394" s="2" t="str">
        <f>"FES1162767909"</f>
        <v>FES1162767909</v>
      </c>
      <c r="C394" s="2" t="s">
        <v>174</v>
      </c>
      <c r="D394" s="2">
        <v>1</v>
      </c>
      <c r="E394" s="2" t="str">
        <f>"2170755829"</f>
        <v>2170755829</v>
      </c>
      <c r="F394" s="2" t="s">
        <v>17</v>
      </c>
      <c r="G394" s="2" t="s">
        <v>18</v>
      </c>
      <c r="H394" s="2" t="s">
        <v>19</v>
      </c>
      <c r="I394" s="2" t="s">
        <v>111</v>
      </c>
      <c r="J394" s="2" t="s">
        <v>464</v>
      </c>
      <c r="K394" s="2" t="s">
        <v>411</v>
      </c>
      <c r="L394" s="3">
        <v>0.41944444444444445</v>
      </c>
      <c r="M394" s="2" t="s">
        <v>572</v>
      </c>
      <c r="N394" s="2" t="s">
        <v>500</v>
      </c>
      <c r="O394" s="2"/>
    </row>
    <row r="395" spans="1:15" x14ac:dyDescent="0.25">
      <c r="A395" s="2" t="s">
        <v>15</v>
      </c>
      <c r="B395" s="2" t="str">
        <f>"FES1162767876"</f>
        <v>FES1162767876</v>
      </c>
      <c r="C395" s="2" t="s">
        <v>174</v>
      </c>
      <c r="D395" s="2">
        <v>1</v>
      </c>
      <c r="E395" s="2" t="str">
        <f>"2170755848"</f>
        <v>2170755848</v>
      </c>
      <c r="F395" s="2" t="s">
        <v>17</v>
      </c>
      <c r="G395" s="2" t="s">
        <v>18</v>
      </c>
      <c r="H395" s="2" t="s">
        <v>36</v>
      </c>
      <c r="I395" s="2" t="s">
        <v>37</v>
      </c>
      <c r="J395" s="2" t="s">
        <v>104</v>
      </c>
      <c r="K395" s="2" t="s">
        <v>411</v>
      </c>
      <c r="L395" s="3">
        <v>0.375</v>
      </c>
      <c r="M395" s="2" t="s">
        <v>221</v>
      </c>
      <c r="N395" s="2" t="s">
        <v>500</v>
      </c>
      <c r="O395" s="2"/>
    </row>
    <row r="396" spans="1:15" x14ac:dyDescent="0.25">
      <c r="A396" s="2" t="s">
        <v>15</v>
      </c>
      <c r="B396" s="2" t="str">
        <f>"FES1162765697"</f>
        <v>FES1162765697</v>
      </c>
      <c r="C396" s="2" t="s">
        <v>174</v>
      </c>
      <c r="D396" s="2">
        <v>1</v>
      </c>
      <c r="E396" s="2" t="str">
        <f>"2170752388"</f>
        <v>2170752388</v>
      </c>
      <c r="F396" s="2" t="s">
        <v>17</v>
      </c>
      <c r="G396" s="2" t="s">
        <v>18</v>
      </c>
      <c r="H396" s="2" t="s">
        <v>88</v>
      </c>
      <c r="I396" s="2" t="s">
        <v>109</v>
      </c>
      <c r="J396" s="2" t="s">
        <v>395</v>
      </c>
      <c r="K396" s="2" t="s">
        <v>411</v>
      </c>
      <c r="L396" s="3">
        <v>0.43055555555555558</v>
      </c>
      <c r="M396" s="2" t="s">
        <v>524</v>
      </c>
      <c r="N396" s="2" t="s">
        <v>500</v>
      </c>
      <c r="O396" s="2"/>
    </row>
    <row r="397" spans="1:15" x14ac:dyDescent="0.25">
      <c r="A397" s="2" t="s">
        <v>15</v>
      </c>
      <c r="B397" s="2" t="str">
        <f>"FES1162767892"</f>
        <v>FES1162767892</v>
      </c>
      <c r="C397" s="2" t="s">
        <v>174</v>
      </c>
      <c r="D397" s="2">
        <v>1</v>
      </c>
      <c r="E397" s="2" t="str">
        <f>"2170755869"</f>
        <v>2170755869</v>
      </c>
      <c r="F397" s="2" t="s">
        <v>17</v>
      </c>
      <c r="G397" s="2" t="s">
        <v>18</v>
      </c>
      <c r="H397" s="2" t="s">
        <v>19</v>
      </c>
      <c r="I397" s="2" t="s">
        <v>111</v>
      </c>
      <c r="J397" s="2" t="s">
        <v>385</v>
      </c>
      <c r="K397" s="2" t="s">
        <v>411</v>
      </c>
      <c r="L397" s="3">
        <v>0.34930555555555554</v>
      </c>
      <c r="M397" s="2" t="s">
        <v>573</v>
      </c>
      <c r="N397" s="2" t="s">
        <v>500</v>
      </c>
      <c r="O397" s="2"/>
    </row>
    <row r="398" spans="1:15" x14ac:dyDescent="0.25">
      <c r="A398" s="2" t="s">
        <v>15</v>
      </c>
      <c r="B398" s="2" t="str">
        <f>"FES1162767929"</f>
        <v>FES1162767929</v>
      </c>
      <c r="C398" s="2" t="s">
        <v>174</v>
      </c>
      <c r="D398" s="2">
        <v>1</v>
      </c>
      <c r="E398" s="2" t="str">
        <f>"2170753247"</f>
        <v>2170753247</v>
      </c>
      <c r="F398" s="2" t="s">
        <v>17</v>
      </c>
      <c r="G398" s="2" t="s">
        <v>18</v>
      </c>
      <c r="H398" s="2" t="s">
        <v>36</v>
      </c>
      <c r="I398" s="2" t="s">
        <v>37</v>
      </c>
      <c r="J398" s="2" t="s">
        <v>162</v>
      </c>
      <c r="K398" s="2" t="s">
        <v>411</v>
      </c>
      <c r="L398" s="3">
        <v>0.33402777777777781</v>
      </c>
      <c r="M398" s="2" t="s">
        <v>268</v>
      </c>
      <c r="N398" s="2" t="s">
        <v>500</v>
      </c>
      <c r="O398" s="2"/>
    </row>
    <row r="399" spans="1:15" x14ac:dyDescent="0.25">
      <c r="A399" s="2" t="s">
        <v>15</v>
      </c>
      <c r="B399" s="2" t="str">
        <f>"FES1162767924"</f>
        <v>FES1162767924</v>
      </c>
      <c r="C399" s="2" t="s">
        <v>174</v>
      </c>
      <c r="D399" s="2">
        <v>1</v>
      </c>
      <c r="E399" s="2" t="str">
        <f>"2170753036"</f>
        <v>2170753036</v>
      </c>
      <c r="F399" s="2" t="s">
        <v>17</v>
      </c>
      <c r="G399" s="2" t="s">
        <v>18</v>
      </c>
      <c r="H399" s="2" t="s">
        <v>19</v>
      </c>
      <c r="I399" s="2" t="s">
        <v>20</v>
      </c>
      <c r="J399" s="2" t="s">
        <v>77</v>
      </c>
      <c r="K399" s="2" t="s">
        <v>411</v>
      </c>
      <c r="L399" s="3">
        <v>0.36388888888888887</v>
      </c>
      <c r="M399" s="2" t="s">
        <v>198</v>
      </c>
      <c r="N399" s="2" t="s">
        <v>500</v>
      </c>
      <c r="O399" s="2"/>
    </row>
    <row r="400" spans="1:15" x14ac:dyDescent="0.25">
      <c r="A400" s="2" t="s">
        <v>15</v>
      </c>
      <c r="B400" s="2" t="str">
        <f>"FES1162767808"</f>
        <v>FES1162767808</v>
      </c>
      <c r="C400" s="2" t="s">
        <v>174</v>
      </c>
      <c r="D400" s="2">
        <v>1</v>
      </c>
      <c r="E400" s="2" t="str">
        <f>"2170754384"</f>
        <v>2170754384</v>
      </c>
      <c r="F400" s="2" t="s">
        <v>17</v>
      </c>
      <c r="G400" s="2" t="s">
        <v>18</v>
      </c>
      <c r="H400" s="2" t="s">
        <v>78</v>
      </c>
      <c r="I400" s="2" t="s">
        <v>465</v>
      </c>
      <c r="J400" s="2" t="s">
        <v>71</v>
      </c>
      <c r="K400" s="2" t="s">
        <v>411</v>
      </c>
      <c r="L400" s="3">
        <v>0.54999999999999993</v>
      </c>
      <c r="M400" s="2" t="s">
        <v>574</v>
      </c>
      <c r="N400" s="2" t="s">
        <v>500</v>
      </c>
      <c r="O400" s="2"/>
    </row>
    <row r="401" spans="1:15" x14ac:dyDescent="0.25">
      <c r="A401" s="2" t="s">
        <v>15</v>
      </c>
      <c r="B401" s="2" t="str">
        <f>"FES1162767850"</f>
        <v>FES1162767850</v>
      </c>
      <c r="C401" s="2" t="s">
        <v>174</v>
      </c>
      <c r="D401" s="2">
        <v>1</v>
      </c>
      <c r="E401" s="2" t="str">
        <f>"2170753036"</f>
        <v>2170753036</v>
      </c>
      <c r="F401" s="2" t="s">
        <v>17</v>
      </c>
      <c r="G401" s="2" t="s">
        <v>18</v>
      </c>
      <c r="H401" s="2" t="s">
        <v>19</v>
      </c>
      <c r="I401" s="2" t="s">
        <v>20</v>
      </c>
      <c r="J401" s="2" t="s">
        <v>77</v>
      </c>
      <c r="K401" s="2" t="s">
        <v>411</v>
      </c>
      <c r="L401" s="3">
        <v>0.36388888888888887</v>
      </c>
      <c r="M401" s="2" t="s">
        <v>198</v>
      </c>
      <c r="N401" s="2" t="s">
        <v>500</v>
      </c>
      <c r="O401" s="2"/>
    </row>
    <row r="402" spans="1:15" x14ac:dyDescent="0.25">
      <c r="A402" s="2" t="s">
        <v>15</v>
      </c>
      <c r="B402" s="2" t="str">
        <f>"FES1162767887"</f>
        <v>FES1162767887</v>
      </c>
      <c r="C402" s="2" t="s">
        <v>174</v>
      </c>
      <c r="D402" s="2">
        <v>1</v>
      </c>
      <c r="E402" s="2" t="str">
        <f>"2170754968"</f>
        <v>2170754968</v>
      </c>
      <c r="F402" s="2" t="s">
        <v>17</v>
      </c>
      <c r="G402" s="2" t="s">
        <v>18</v>
      </c>
      <c r="H402" s="2" t="s">
        <v>18</v>
      </c>
      <c r="I402" s="2" t="s">
        <v>459</v>
      </c>
      <c r="J402" s="2" t="s">
        <v>460</v>
      </c>
      <c r="K402" s="2" t="s">
        <v>411</v>
      </c>
      <c r="L402" s="3">
        <v>0.375</v>
      </c>
      <c r="M402" s="2" t="s">
        <v>567</v>
      </c>
      <c r="N402" s="2" t="s">
        <v>500</v>
      </c>
      <c r="O402" s="2"/>
    </row>
    <row r="403" spans="1:15" x14ac:dyDescent="0.25">
      <c r="A403" s="2" t="s">
        <v>15</v>
      </c>
      <c r="B403" s="2" t="str">
        <f>"FES1162767925"</f>
        <v>FES1162767925</v>
      </c>
      <c r="C403" s="2" t="s">
        <v>174</v>
      </c>
      <c r="D403" s="2">
        <v>1</v>
      </c>
      <c r="E403" s="2" t="str">
        <f>"2170753049"</f>
        <v>2170753049</v>
      </c>
      <c r="F403" s="2" t="s">
        <v>17</v>
      </c>
      <c r="G403" s="2" t="s">
        <v>18</v>
      </c>
      <c r="H403" s="2" t="s">
        <v>18</v>
      </c>
      <c r="I403" s="2" t="s">
        <v>52</v>
      </c>
      <c r="J403" s="2" t="s">
        <v>466</v>
      </c>
      <c r="K403" s="2" t="s">
        <v>411</v>
      </c>
      <c r="L403" s="3">
        <v>0.65694444444444444</v>
      </c>
      <c r="M403" s="2" t="s">
        <v>575</v>
      </c>
      <c r="N403" s="2" t="s">
        <v>500</v>
      </c>
      <c r="O403" s="2"/>
    </row>
    <row r="404" spans="1:15" x14ac:dyDescent="0.25">
      <c r="A404" s="2" t="s">
        <v>15</v>
      </c>
      <c r="B404" s="2" t="str">
        <f>"FES1162767920"</f>
        <v>FES1162767920</v>
      </c>
      <c r="C404" s="2" t="s">
        <v>174</v>
      </c>
      <c r="D404" s="2">
        <v>1</v>
      </c>
      <c r="E404" s="2" t="str">
        <f>"2170750853"</f>
        <v>2170750853</v>
      </c>
      <c r="F404" s="2" t="s">
        <v>17</v>
      </c>
      <c r="G404" s="2" t="s">
        <v>18</v>
      </c>
      <c r="H404" s="2" t="s">
        <v>36</v>
      </c>
      <c r="I404" s="2" t="s">
        <v>37</v>
      </c>
      <c r="J404" s="2" t="s">
        <v>162</v>
      </c>
      <c r="K404" s="2" t="s">
        <v>411</v>
      </c>
      <c r="L404" s="3">
        <v>0.33402777777777781</v>
      </c>
      <c r="M404" s="2" t="s">
        <v>268</v>
      </c>
      <c r="N404" s="2" t="s">
        <v>500</v>
      </c>
      <c r="O404" s="2"/>
    </row>
    <row r="405" spans="1:15" x14ac:dyDescent="0.25">
      <c r="A405" s="2" t="s">
        <v>15</v>
      </c>
      <c r="B405" s="2" t="str">
        <f>"FES1162767955"</f>
        <v>FES1162767955</v>
      </c>
      <c r="C405" s="2" t="s">
        <v>174</v>
      </c>
      <c r="D405" s="2">
        <v>1</v>
      </c>
      <c r="E405" s="2" t="str">
        <f>"2170752985"</f>
        <v>2170752985</v>
      </c>
      <c r="F405" s="2" t="s">
        <v>17</v>
      </c>
      <c r="G405" s="2" t="s">
        <v>18</v>
      </c>
      <c r="H405" s="2" t="s">
        <v>19</v>
      </c>
      <c r="I405" s="2" t="s">
        <v>20</v>
      </c>
      <c r="J405" s="2" t="s">
        <v>77</v>
      </c>
      <c r="K405" s="2" t="s">
        <v>411</v>
      </c>
      <c r="L405" s="3">
        <v>0.36319444444444443</v>
      </c>
      <c r="M405" s="2" t="s">
        <v>198</v>
      </c>
      <c r="N405" s="2" t="s">
        <v>500</v>
      </c>
      <c r="O405" s="2"/>
    </row>
    <row r="406" spans="1:15" x14ac:dyDescent="0.25">
      <c r="A406" s="2" t="s">
        <v>15</v>
      </c>
      <c r="B406" s="2" t="str">
        <f>"FES1162767930"</f>
        <v>FES1162767930</v>
      </c>
      <c r="C406" s="2" t="s">
        <v>174</v>
      </c>
      <c r="D406" s="2">
        <v>1</v>
      </c>
      <c r="E406" s="2" t="str">
        <f>"2170753258"</f>
        <v>2170753258</v>
      </c>
      <c r="F406" s="2" t="s">
        <v>17</v>
      </c>
      <c r="G406" s="2" t="s">
        <v>18</v>
      </c>
      <c r="H406" s="2" t="s">
        <v>36</v>
      </c>
      <c r="I406" s="2" t="s">
        <v>37</v>
      </c>
      <c r="J406" s="2" t="s">
        <v>162</v>
      </c>
      <c r="K406" s="2" t="s">
        <v>411</v>
      </c>
      <c r="L406" s="3">
        <v>0.33402777777777781</v>
      </c>
      <c r="M406" s="2" t="s">
        <v>268</v>
      </c>
      <c r="N406" s="2" t="s">
        <v>500</v>
      </c>
      <c r="O406" s="2"/>
    </row>
    <row r="407" spans="1:15" x14ac:dyDescent="0.25">
      <c r="A407" s="2" t="s">
        <v>15</v>
      </c>
      <c r="B407" s="2" t="str">
        <f>"FES1162767921"</f>
        <v>FES1162767921</v>
      </c>
      <c r="C407" s="2" t="s">
        <v>174</v>
      </c>
      <c r="D407" s="2">
        <v>1</v>
      </c>
      <c r="E407" s="2" t="str">
        <f>"2170750856"</f>
        <v>2170750856</v>
      </c>
      <c r="F407" s="2" t="s">
        <v>17</v>
      </c>
      <c r="G407" s="2" t="s">
        <v>18</v>
      </c>
      <c r="H407" s="2" t="s">
        <v>36</v>
      </c>
      <c r="I407" s="2" t="s">
        <v>37</v>
      </c>
      <c r="J407" s="2" t="s">
        <v>162</v>
      </c>
      <c r="K407" s="2" t="s">
        <v>411</v>
      </c>
      <c r="L407" s="3">
        <v>0.33402777777777781</v>
      </c>
      <c r="M407" s="2" t="s">
        <v>268</v>
      </c>
      <c r="N407" s="2" t="s">
        <v>500</v>
      </c>
      <c r="O407" s="2"/>
    </row>
    <row r="408" spans="1:15" x14ac:dyDescent="0.25">
      <c r="A408" s="2" t="s">
        <v>15</v>
      </c>
      <c r="B408" s="2" t="str">
        <f>"FES1162767913"</f>
        <v>FES1162767913</v>
      </c>
      <c r="C408" s="2" t="s">
        <v>174</v>
      </c>
      <c r="D408" s="2">
        <v>1</v>
      </c>
      <c r="E408" s="2" t="str">
        <f>"2170755887"</f>
        <v>2170755887</v>
      </c>
      <c r="F408" s="2" t="s">
        <v>17</v>
      </c>
      <c r="G408" s="2" t="s">
        <v>18</v>
      </c>
      <c r="H408" s="2" t="s">
        <v>36</v>
      </c>
      <c r="I408" s="2" t="s">
        <v>37</v>
      </c>
      <c r="J408" s="2" t="s">
        <v>467</v>
      </c>
      <c r="K408" s="2" t="s">
        <v>411</v>
      </c>
      <c r="L408" s="3">
        <v>0.4201388888888889</v>
      </c>
      <c r="M408" s="2" t="s">
        <v>576</v>
      </c>
      <c r="N408" s="2" t="s">
        <v>500</v>
      </c>
      <c r="O408" s="2"/>
    </row>
    <row r="409" spans="1:15" x14ac:dyDescent="0.25">
      <c r="A409" s="2" t="s">
        <v>15</v>
      </c>
      <c r="B409" s="2" t="str">
        <f>"FES1162767928"</f>
        <v>FES1162767928</v>
      </c>
      <c r="C409" s="2" t="s">
        <v>174</v>
      </c>
      <c r="D409" s="2">
        <v>1</v>
      </c>
      <c r="E409" s="2" t="str">
        <f>"2170753117"</f>
        <v>2170753117</v>
      </c>
      <c r="F409" s="2" t="s">
        <v>17</v>
      </c>
      <c r="G409" s="2" t="s">
        <v>18</v>
      </c>
      <c r="H409" s="2" t="s">
        <v>88</v>
      </c>
      <c r="I409" s="2" t="s">
        <v>109</v>
      </c>
      <c r="J409" s="2" t="s">
        <v>141</v>
      </c>
      <c r="K409" s="2" t="s">
        <v>411</v>
      </c>
      <c r="L409" s="3">
        <v>0.41666666666666669</v>
      </c>
      <c r="M409" s="2" t="s">
        <v>172</v>
      </c>
      <c r="N409" s="2" t="s">
        <v>500</v>
      </c>
      <c r="O409" s="2"/>
    </row>
    <row r="410" spans="1:15" x14ac:dyDescent="0.25">
      <c r="A410" s="2" t="s">
        <v>15</v>
      </c>
      <c r="B410" s="2" t="str">
        <f>"FES1162767922"</f>
        <v>FES1162767922</v>
      </c>
      <c r="C410" s="2" t="s">
        <v>174</v>
      </c>
      <c r="D410" s="2">
        <v>1</v>
      </c>
      <c r="E410" s="2" t="str">
        <f>"2170752201"</f>
        <v>2170752201</v>
      </c>
      <c r="F410" s="2" t="s">
        <v>205</v>
      </c>
      <c r="G410" s="2" t="s">
        <v>206</v>
      </c>
      <c r="H410" s="2" t="s">
        <v>36</v>
      </c>
      <c r="I410" s="2" t="s">
        <v>37</v>
      </c>
      <c r="J410" s="2" t="s">
        <v>403</v>
      </c>
      <c r="K410" s="2" t="s">
        <v>510</v>
      </c>
      <c r="L410" s="3">
        <v>0.51597222222222217</v>
      </c>
      <c r="M410" s="2" t="s">
        <v>674</v>
      </c>
      <c r="N410" s="2" t="s">
        <v>500</v>
      </c>
      <c r="O410" s="2"/>
    </row>
    <row r="411" spans="1:15" x14ac:dyDescent="0.25">
      <c r="A411" s="2" t="s">
        <v>15</v>
      </c>
      <c r="B411" s="2" t="str">
        <f>"FES1162767993"</f>
        <v>FES1162767993</v>
      </c>
      <c r="C411" s="2" t="s">
        <v>174</v>
      </c>
      <c r="D411" s="2">
        <v>1</v>
      </c>
      <c r="E411" s="2" t="str">
        <f>"2170755480"</f>
        <v>2170755480</v>
      </c>
      <c r="F411" s="2" t="s">
        <v>17</v>
      </c>
      <c r="G411" s="2" t="s">
        <v>18</v>
      </c>
      <c r="H411" s="2" t="s">
        <v>25</v>
      </c>
      <c r="I411" s="2" t="s">
        <v>39</v>
      </c>
      <c r="J411" s="2" t="s">
        <v>40</v>
      </c>
      <c r="K411" s="2" t="s">
        <v>411</v>
      </c>
      <c r="L411" s="3">
        <v>0.4861111111111111</v>
      </c>
      <c r="M411" s="2" t="s">
        <v>326</v>
      </c>
      <c r="N411" s="2" t="s">
        <v>500</v>
      </c>
      <c r="O411" s="2"/>
    </row>
    <row r="412" spans="1:15" x14ac:dyDescent="0.25">
      <c r="A412" s="2" t="s">
        <v>15</v>
      </c>
      <c r="B412" s="2" t="str">
        <f>"FES1162767917"</f>
        <v>FES1162767917</v>
      </c>
      <c r="C412" s="2" t="s">
        <v>174</v>
      </c>
      <c r="D412" s="2">
        <v>1</v>
      </c>
      <c r="E412" s="2" t="str">
        <f>"2170748982"</f>
        <v>2170748982</v>
      </c>
      <c r="F412" s="2" t="s">
        <v>17</v>
      </c>
      <c r="G412" s="2" t="s">
        <v>18</v>
      </c>
      <c r="H412" s="2" t="s">
        <v>36</v>
      </c>
      <c r="I412" s="2" t="s">
        <v>37</v>
      </c>
      <c r="J412" s="2" t="s">
        <v>102</v>
      </c>
      <c r="K412" s="2" t="s">
        <v>411</v>
      </c>
      <c r="L412" s="3">
        <v>0.37708333333333338</v>
      </c>
      <c r="M412" s="2" t="s">
        <v>398</v>
      </c>
      <c r="N412" s="2" t="s">
        <v>500</v>
      </c>
      <c r="O412" s="2"/>
    </row>
    <row r="413" spans="1:15" x14ac:dyDescent="0.25">
      <c r="A413" s="2" t="s">
        <v>15</v>
      </c>
      <c r="B413" s="2" t="str">
        <f>"FES1162767940"</f>
        <v>FES1162767940</v>
      </c>
      <c r="C413" s="2" t="s">
        <v>174</v>
      </c>
      <c r="D413" s="2">
        <v>1</v>
      </c>
      <c r="E413" s="2" t="str">
        <f>"2170754350"</f>
        <v>2170754350</v>
      </c>
      <c r="F413" s="2" t="s">
        <v>17</v>
      </c>
      <c r="G413" s="2" t="s">
        <v>18</v>
      </c>
      <c r="H413" s="2" t="s">
        <v>18</v>
      </c>
      <c r="I413" s="2" t="s">
        <v>63</v>
      </c>
      <c r="J413" s="2" t="s">
        <v>93</v>
      </c>
      <c r="K413" s="2" t="s">
        <v>411</v>
      </c>
      <c r="L413" s="3">
        <v>0.37152777777777773</v>
      </c>
      <c r="M413" s="2" t="s">
        <v>397</v>
      </c>
      <c r="N413" s="2" t="s">
        <v>500</v>
      </c>
      <c r="O413" s="2"/>
    </row>
    <row r="414" spans="1:15" x14ac:dyDescent="0.25">
      <c r="A414" s="2" t="s">
        <v>15</v>
      </c>
      <c r="B414" s="2" t="str">
        <f>"FES1162767931"</f>
        <v>FES1162767931</v>
      </c>
      <c r="C414" s="2" t="s">
        <v>174</v>
      </c>
      <c r="D414" s="2">
        <v>1</v>
      </c>
      <c r="E414" s="2" t="str">
        <f>"2170753277"</f>
        <v>2170753277</v>
      </c>
      <c r="F414" s="2" t="s">
        <v>17</v>
      </c>
      <c r="G414" s="2" t="s">
        <v>18</v>
      </c>
      <c r="H414" s="2" t="s">
        <v>18</v>
      </c>
      <c r="I414" s="2" t="s">
        <v>57</v>
      </c>
      <c r="J414" s="2" t="s">
        <v>92</v>
      </c>
      <c r="K414" s="2" t="s">
        <v>411</v>
      </c>
      <c r="L414" s="3">
        <v>0.29375000000000001</v>
      </c>
      <c r="M414" s="2" t="s">
        <v>577</v>
      </c>
      <c r="N414" s="2" t="s">
        <v>500</v>
      </c>
      <c r="O414" s="2"/>
    </row>
    <row r="415" spans="1:15" x14ac:dyDescent="0.25">
      <c r="A415" s="2" t="s">
        <v>15</v>
      </c>
      <c r="B415" s="2" t="str">
        <f>"FES1162767866"</f>
        <v>FES1162767866</v>
      </c>
      <c r="C415" s="2" t="s">
        <v>174</v>
      </c>
      <c r="D415" s="2">
        <v>1</v>
      </c>
      <c r="E415" s="2" t="str">
        <f>"2170752801"</f>
        <v>2170752801</v>
      </c>
      <c r="F415" s="2" t="s">
        <v>17</v>
      </c>
      <c r="G415" s="2" t="s">
        <v>18</v>
      </c>
      <c r="H415" s="2" t="s">
        <v>36</v>
      </c>
      <c r="I415" s="2" t="s">
        <v>37</v>
      </c>
      <c r="J415" s="2" t="s">
        <v>162</v>
      </c>
      <c r="K415" s="2" t="s">
        <v>411</v>
      </c>
      <c r="L415" s="3">
        <v>0.33402777777777781</v>
      </c>
      <c r="M415" s="2" t="s">
        <v>268</v>
      </c>
      <c r="N415" s="2" t="s">
        <v>500</v>
      </c>
      <c r="O415" s="2"/>
    </row>
    <row r="416" spans="1:15" x14ac:dyDescent="0.25">
      <c r="A416" s="2" t="s">
        <v>15</v>
      </c>
      <c r="B416" s="2" t="str">
        <f>"FES1162767933"</f>
        <v>FES1162767933</v>
      </c>
      <c r="C416" s="2" t="s">
        <v>174</v>
      </c>
      <c r="D416" s="2">
        <v>1</v>
      </c>
      <c r="E416" s="2" t="str">
        <f>"2170753371"</f>
        <v>2170753371</v>
      </c>
      <c r="F416" s="2" t="s">
        <v>17</v>
      </c>
      <c r="G416" s="2" t="s">
        <v>18</v>
      </c>
      <c r="H416" s="2" t="s">
        <v>18</v>
      </c>
      <c r="I416" s="2" t="s">
        <v>46</v>
      </c>
      <c r="J416" s="2" t="s">
        <v>355</v>
      </c>
      <c r="K416" s="2" t="s">
        <v>411</v>
      </c>
      <c r="L416" s="3">
        <v>0.37986111111111115</v>
      </c>
      <c r="M416" s="2" t="s">
        <v>535</v>
      </c>
      <c r="N416" s="2" t="s">
        <v>500</v>
      </c>
      <c r="O416" s="2"/>
    </row>
    <row r="417" spans="1:15" x14ac:dyDescent="0.25">
      <c r="A417" s="2" t="s">
        <v>15</v>
      </c>
      <c r="B417" s="2" t="str">
        <f>"FES1162767867"</f>
        <v>FES1162767867</v>
      </c>
      <c r="C417" s="2" t="s">
        <v>174</v>
      </c>
      <c r="D417" s="2">
        <v>1</v>
      </c>
      <c r="E417" s="2" t="str">
        <f>"2170752881"</f>
        <v>2170752881</v>
      </c>
      <c r="F417" s="2" t="s">
        <v>17</v>
      </c>
      <c r="G417" s="2" t="s">
        <v>18</v>
      </c>
      <c r="H417" s="2" t="s">
        <v>18</v>
      </c>
      <c r="I417" s="2" t="s">
        <v>63</v>
      </c>
      <c r="J417" s="2" t="s">
        <v>468</v>
      </c>
      <c r="K417" s="2" t="s">
        <v>411</v>
      </c>
      <c r="L417" s="3">
        <v>0.39305555555555555</v>
      </c>
      <c r="M417" s="2" t="s">
        <v>578</v>
      </c>
      <c r="N417" s="2" t="s">
        <v>500</v>
      </c>
      <c r="O417" s="2"/>
    </row>
    <row r="418" spans="1:15" x14ac:dyDescent="0.25">
      <c r="A418" s="2" t="s">
        <v>15</v>
      </c>
      <c r="B418" s="2" t="str">
        <f>"FES1162767946"</f>
        <v>FES1162767946</v>
      </c>
      <c r="C418" s="2" t="s">
        <v>174</v>
      </c>
      <c r="D418" s="2">
        <v>1</v>
      </c>
      <c r="E418" s="2" t="str">
        <f>"2170755807"</f>
        <v>2170755807</v>
      </c>
      <c r="F418" s="2" t="s">
        <v>17</v>
      </c>
      <c r="G418" s="2" t="s">
        <v>18</v>
      </c>
      <c r="H418" s="2" t="s">
        <v>88</v>
      </c>
      <c r="I418" s="2" t="s">
        <v>109</v>
      </c>
      <c r="J418" s="2" t="s">
        <v>110</v>
      </c>
      <c r="K418" s="2" t="s">
        <v>411</v>
      </c>
      <c r="L418" s="3">
        <v>0.42430555555555555</v>
      </c>
      <c r="M418" s="2" t="s">
        <v>224</v>
      </c>
      <c r="N418" s="2" t="s">
        <v>500</v>
      </c>
      <c r="O418" s="2"/>
    </row>
    <row r="419" spans="1:15" x14ac:dyDescent="0.25">
      <c r="A419" s="2" t="s">
        <v>15</v>
      </c>
      <c r="B419" s="2" t="str">
        <f>"FES1162767919"</f>
        <v>FES1162767919</v>
      </c>
      <c r="C419" s="2" t="s">
        <v>174</v>
      </c>
      <c r="D419" s="2">
        <v>1</v>
      </c>
      <c r="E419" s="2" t="str">
        <f>"2170750682"</f>
        <v>2170750682</v>
      </c>
      <c r="F419" s="2" t="s">
        <v>17</v>
      </c>
      <c r="G419" s="2" t="s">
        <v>18</v>
      </c>
      <c r="H419" s="2" t="s">
        <v>36</v>
      </c>
      <c r="I419" s="2" t="s">
        <v>37</v>
      </c>
      <c r="J419" s="2" t="s">
        <v>162</v>
      </c>
      <c r="K419" s="2" t="s">
        <v>411</v>
      </c>
      <c r="L419" s="3">
        <v>0.33402777777777781</v>
      </c>
      <c r="M419" s="2" t="s">
        <v>268</v>
      </c>
      <c r="N419" s="2" t="s">
        <v>500</v>
      </c>
      <c r="O419" s="2"/>
    </row>
    <row r="420" spans="1:15" x14ac:dyDescent="0.25">
      <c r="A420" s="2" t="s">
        <v>15</v>
      </c>
      <c r="B420" s="2" t="str">
        <f>"FES1162767923"</f>
        <v>FES1162767923</v>
      </c>
      <c r="C420" s="2" t="s">
        <v>174</v>
      </c>
      <c r="D420" s="2">
        <v>1</v>
      </c>
      <c r="E420" s="2" t="str">
        <f>"2170752681"</f>
        <v>2170752681</v>
      </c>
      <c r="F420" s="2" t="s">
        <v>17</v>
      </c>
      <c r="G420" s="2" t="s">
        <v>18</v>
      </c>
      <c r="H420" s="2" t="s">
        <v>18</v>
      </c>
      <c r="I420" s="2" t="s">
        <v>63</v>
      </c>
      <c r="J420" s="2" t="s">
        <v>469</v>
      </c>
      <c r="K420" s="2" t="s">
        <v>411</v>
      </c>
      <c r="L420" s="3">
        <v>0.33333333333333331</v>
      </c>
      <c r="M420" s="2" t="s">
        <v>579</v>
      </c>
      <c r="N420" s="2" t="s">
        <v>500</v>
      </c>
      <c r="O420" s="2"/>
    </row>
    <row r="421" spans="1:15" x14ac:dyDescent="0.25">
      <c r="A421" s="2" t="s">
        <v>15</v>
      </c>
      <c r="B421" s="2" t="str">
        <f>"FES1162767914"</f>
        <v>FES1162767914</v>
      </c>
      <c r="C421" s="2" t="s">
        <v>174</v>
      </c>
      <c r="D421" s="2">
        <v>1</v>
      </c>
      <c r="E421" s="2" t="str">
        <f>"2170755888"</f>
        <v>2170755888</v>
      </c>
      <c r="F421" s="2" t="s">
        <v>17</v>
      </c>
      <c r="G421" s="2" t="s">
        <v>18</v>
      </c>
      <c r="H421" s="2" t="s">
        <v>18</v>
      </c>
      <c r="I421" s="2" t="s">
        <v>46</v>
      </c>
      <c r="J421" s="2" t="s">
        <v>470</v>
      </c>
      <c r="K421" s="2" t="s">
        <v>411</v>
      </c>
      <c r="L421" s="3">
        <v>0.31944444444444448</v>
      </c>
      <c r="M421" s="2" t="s">
        <v>471</v>
      </c>
      <c r="N421" s="2" t="s">
        <v>500</v>
      </c>
      <c r="O421" s="2"/>
    </row>
    <row r="422" spans="1:15" x14ac:dyDescent="0.25">
      <c r="A422" s="2" t="s">
        <v>15</v>
      </c>
      <c r="B422" s="2" t="str">
        <f>"FES1162767896"</f>
        <v>FES1162767896</v>
      </c>
      <c r="C422" s="2" t="s">
        <v>174</v>
      </c>
      <c r="D422" s="2">
        <v>1</v>
      </c>
      <c r="E422" s="2" t="str">
        <f>"2170750926"</f>
        <v>2170750926</v>
      </c>
      <c r="F422" s="2" t="s">
        <v>17</v>
      </c>
      <c r="G422" s="2" t="s">
        <v>18</v>
      </c>
      <c r="H422" s="2" t="s">
        <v>25</v>
      </c>
      <c r="I422" s="2" t="s">
        <v>26</v>
      </c>
      <c r="J422" s="2" t="s">
        <v>422</v>
      </c>
      <c r="K422" s="2" t="s">
        <v>411</v>
      </c>
      <c r="L422" s="3">
        <v>0.38472222222222219</v>
      </c>
      <c r="M422" s="2" t="s">
        <v>527</v>
      </c>
      <c r="N422" s="2" t="s">
        <v>500</v>
      </c>
      <c r="O422" s="2"/>
    </row>
    <row r="423" spans="1:15" x14ac:dyDescent="0.25">
      <c r="A423" s="2" t="s">
        <v>15</v>
      </c>
      <c r="B423" s="2" t="str">
        <f>"009940283640"</f>
        <v>009940283640</v>
      </c>
      <c r="C423" s="2" t="s">
        <v>174</v>
      </c>
      <c r="D423" s="2">
        <v>1</v>
      </c>
      <c r="E423" s="2" t="str">
        <f>"1162767553"</f>
        <v>1162767553</v>
      </c>
      <c r="F423" s="2" t="s">
        <v>17</v>
      </c>
      <c r="G423" s="2" t="s">
        <v>18</v>
      </c>
      <c r="H423" s="2" t="s">
        <v>88</v>
      </c>
      <c r="I423" s="2" t="s">
        <v>109</v>
      </c>
      <c r="J423" s="2" t="s">
        <v>110</v>
      </c>
      <c r="K423" s="2" t="s">
        <v>411</v>
      </c>
      <c r="L423" s="3">
        <v>0.42430555555555555</v>
      </c>
      <c r="M423" s="2" t="s">
        <v>580</v>
      </c>
      <c r="N423" s="2" t="s">
        <v>500</v>
      </c>
      <c r="O423" s="2"/>
    </row>
    <row r="424" spans="1:15" x14ac:dyDescent="0.25">
      <c r="A424" s="2" t="s">
        <v>15</v>
      </c>
      <c r="B424" s="2" t="str">
        <f>"FES1162767878"</f>
        <v>FES1162767878</v>
      </c>
      <c r="C424" s="2" t="s">
        <v>174</v>
      </c>
      <c r="D424" s="2">
        <v>1</v>
      </c>
      <c r="E424" s="2" t="str">
        <f>"2170755776"</f>
        <v>2170755776</v>
      </c>
      <c r="F424" s="2" t="s">
        <v>17</v>
      </c>
      <c r="G424" s="2" t="s">
        <v>18</v>
      </c>
      <c r="H424" s="2" t="s">
        <v>19</v>
      </c>
      <c r="I424" s="2" t="s">
        <v>20</v>
      </c>
      <c r="J424" s="2" t="s">
        <v>106</v>
      </c>
      <c r="K424" s="2" t="s">
        <v>411</v>
      </c>
      <c r="L424" s="3">
        <v>0.31666666666666665</v>
      </c>
      <c r="M424" s="2" t="s">
        <v>472</v>
      </c>
      <c r="N424" s="2" t="s">
        <v>500</v>
      </c>
      <c r="O424" s="2"/>
    </row>
    <row r="425" spans="1:15" x14ac:dyDescent="0.25">
      <c r="A425" s="2" t="s">
        <v>15</v>
      </c>
      <c r="B425" s="2" t="str">
        <f>"FES1162767901"</f>
        <v>FES1162767901</v>
      </c>
      <c r="C425" s="2" t="s">
        <v>174</v>
      </c>
      <c r="D425" s="2">
        <v>1</v>
      </c>
      <c r="E425" s="2" t="str">
        <f>"2170755880"</f>
        <v>2170755880</v>
      </c>
      <c r="F425" s="2" t="s">
        <v>17</v>
      </c>
      <c r="G425" s="2" t="s">
        <v>18</v>
      </c>
      <c r="H425" s="2" t="s">
        <v>36</v>
      </c>
      <c r="I425" s="2" t="s">
        <v>37</v>
      </c>
      <c r="J425" s="2" t="s">
        <v>55</v>
      </c>
      <c r="K425" s="2" t="s">
        <v>411</v>
      </c>
      <c r="L425" s="3">
        <v>0.36805555555555558</v>
      </c>
      <c r="M425" s="2" t="s">
        <v>305</v>
      </c>
      <c r="N425" s="2" t="s">
        <v>500</v>
      </c>
      <c r="O425" s="2"/>
    </row>
    <row r="426" spans="1:15" x14ac:dyDescent="0.25">
      <c r="A426" s="2" t="s">
        <v>15</v>
      </c>
      <c r="B426" s="2" t="str">
        <f>"FES1162767576"</f>
        <v>FES1162767576</v>
      </c>
      <c r="C426" s="2" t="s">
        <v>174</v>
      </c>
      <c r="D426" s="2">
        <v>1</v>
      </c>
      <c r="E426" s="2" t="str">
        <f>"2170751016"</f>
        <v>2170751016</v>
      </c>
      <c r="F426" s="2" t="s">
        <v>17</v>
      </c>
      <c r="G426" s="2" t="s">
        <v>18</v>
      </c>
      <c r="H426" s="2" t="s">
        <v>78</v>
      </c>
      <c r="I426" s="2" t="s">
        <v>79</v>
      </c>
      <c r="J426" s="2" t="s">
        <v>113</v>
      </c>
      <c r="K426" s="2" t="s">
        <v>411</v>
      </c>
      <c r="L426" s="3">
        <v>0.49374999999999997</v>
      </c>
      <c r="M426" s="2" t="s">
        <v>534</v>
      </c>
      <c r="N426" s="2" t="s">
        <v>500</v>
      </c>
      <c r="O426" s="2"/>
    </row>
    <row r="427" spans="1:15" x14ac:dyDescent="0.25">
      <c r="A427" s="2" t="s">
        <v>15</v>
      </c>
      <c r="B427" s="2" t="str">
        <f>"FES1162767969"</f>
        <v>FES1162767969</v>
      </c>
      <c r="C427" s="2" t="s">
        <v>174</v>
      </c>
      <c r="D427" s="2">
        <v>1</v>
      </c>
      <c r="E427" s="2" t="str">
        <f>"2170755886"</f>
        <v>2170755886</v>
      </c>
      <c r="F427" s="2" t="s">
        <v>17</v>
      </c>
      <c r="G427" s="2" t="s">
        <v>18</v>
      </c>
      <c r="H427" s="2" t="s">
        <v>18</v>
      </c>
      <c r="I427" s="2" t="s">
        <v>57</v>
      </c>
      <c r="J427" s="2" t="s">
        <v>473</v>
      </c>
      <c r="K427" s="2" t="s">
        <v>411</v>
      </c>
      <c r="L427" s="3">
        <v>0.35416666666666669</v>
      </c>
      <c r="M427" s="2" t="s">
        <v>581</v>
      </c>
      <c r="N427" s="2" t="s">
        <v>500</v>
      </c>
      <c r="O427" s="2"/>
    </row>
    <row r="428" spans="1:15" x14ac:dyDescent="0.25">
      <c r="A428" s="2" t="s">
        <v>15</v>
      </c>
      <c r="B428" s="2" t="str">
        <f>"FES1162767938"</f>
        <v>FES1162767938</v>
      </c>
      <c r="C428" s="2" t="s">
        <v>174</v>
      </c>
      <c r="D428" s="2">
        <v>1</v>
      </c>
      <c r="E428" s="2" t="str">
        <f>"2170754089"</f>
        <v>2170754089</v>
      </c>
      <c r="F428" s="2" t="s">
        <v>17</v>
      </c>
      <c r="G428" s="2" t="s">
        <v>18</v>
      </c>
      <c r="H428" s="2" t="s">
        <v>18</v>
      </c>
      <c r="I428" s="2" t="s">
        <v>65</v>
      </c>
      <c r="J428" s="2" t="s">
        <v>87</v>
      </c>
      <c r="K428" s="2" t="s">
        <v>411</v>
      </c>
      <c r="L428" s="3">
        <v>0.40069444444444446</v>
      </c>
      <c r="M428" s="2" t="s">
        <v>289</v>
      </c>
      <c r="N428" s="2" t="s">
        <v>500</v>
      </c>
      <c r="O428" s="2"/>
    </row>
    <row r="429" spans="1:15" x14ac:dyDescent="0.25">
      <c r="A429" s="2" t="s">
        <v>15</v>
      </c>
      <c r="B429" s="2" t="str">
        <f>"FES1162767995"</f>
        <v>FES1162767995</v>
      </c>
      <c r="C429" s="2" t="s">
        <v>174</v>
      </c>
      <c r="D429" s="2">
        <v>1</v>
      </c>
      <c r="E429" s="2" t="str">
        <f>"2170755946"</f>
        <v>2170755946</v>
      </c>
      <c r="F429" s="2" t="s">
        <v>17</v>
      </c>
      <c r="G429" s="2" t="s">
        <v>18</v>
      </c>
      <c r="H429" s="2" t="s">
        <v>78</v>
      </c>
      <c r="I429" s="2" t="s">
        <v>79</v>
      </c>
      <c r="J429" s="2" t="s">
        <v>449</v>
      </c>
      <c r="K429" s="2" t="s">
        <v>411</v>
      </c>
      <c r="L429" s="3">
        <v>0.4236111111111111</v>
      </c>
      <c r="M429" s="2" t="s">
        <v>554</v>
      </c>
      <c r="N429" s="2" t="s">
        <v>500</v>
      </c>
      <c r="O429" s="2"/>
    </row>
    <row r="430" spans="1:15" x14ac:dyDescent="0.25">
      <c r="A430" s="2" t="s">
        <v>15</v>
      </c>
      <c r="B430" s="2" t="str">
        <f>"FES1162767986"</f>
        <v>FES1162767986</v>
      </c>
      <c r="C430" s="2" t="s">
        <v>174</v>
      </c>
      <c r="D430" s="2">
        <v>1</v>
      </c>
      <c r="E430" s="2" t="str">
        <f>"2170755931"</f>
        <v>2170755931</v>
      </c>
      <c r="F430" s="2" t="s">
        <v>17</v>
      </c>
      <c r="G430" s="2" t="s">
        <v>18</v>
      </c>
      <c r="H430" s="2" t="s">
        <v>19</v>
      </c>
      <c r="I430" s="2" t="s">
        <v>111</v>
      </c>
      <c r="J430" s="2" t="s">
        <v>143</v>
      </c>
      <c r="K430" s="2" t="s">
        <v>411</v>
      </c>
      <c r="L430" s="3">
        <v>0.31041666666666667</v>
      </c>
      <c r="M430" s="2" t="s">
        <v>144</v>
      </c>
      <c r="N430" s="2" t="s">
        <v>500</v>
      </c>
      <c r="O430" s="2"/>
    </row>
    <row r="431" spans="1:15" x14ac:dyDescent="0.25">
      <c r="A431" s="2" t="s">
        <v>15</v>
      </c>
      <c r="B431" s="2" t="str">
        <f>"FES1162767972"</f>
        <v>FES1162767972</v>
      </c>
      <c r="C431" s="2" t="s">
        <v>174</v>
      </c>
      <c r="D431" s="2">
        <v>1</v>
      </c>
      <c r="E431" s="2" t="str">
        <f>"2170755913"</f>
        <v>2170755913</v>
      </c>
      <c r="F431" s="2" t="s">
        <v>17</v>
      </c>
      <c r="G431" s="2" t="s">
        <v>18</v>
      </c>
      <c r="H431" s="2" t="s">
        <v>78</v>
      </c>
      <c r="I431" s="2" t="s">
        <v>79</v>
      </c>
      <c r="J431" s="2" t="s">
        <v>383</v>
      </c>
      <c r="K431" s="2" t="s">
        <v>411</v>
      </c>
      <c r="L431" s="3">
        <v>0.51597222222222217</v>
      </c>
      <c r="M431" s="2" t="s">
        <v>582</v>
      </c>
      <c r="N431" s="2" t="s">
        <v>500</v>
      </c>
      <c r="O431" s="2"/>
    </row>
    <row r="432" spans="1:15" x14ac:dyDescent="0.25">
      <c r="A432" s="2" t="s">
        <v>15</v>
      </c>
      <c r="B432" s="2" t="str">
        <f>"FES1162768003"</f>
        <v>FES1162768003</v>
      </c>
      <c r="C432" s="2" t="s">
        <v>174</v>
      </c>
      <c r="D432" s="2">
        <v>1</v>
      </c>
      <c r="E432" s="2" t="str">
        <f>"2170755884"</f>
        <v>2170755884</v>
      </c>
      <c r="F432" s="2" t="s">
        <v>17</v>
      </c>
      <c r="G432" s="2" t="s">
        <v>18</v>
      </c>
      <c r="H432" s="2" t="s">
        <v>25</v>
      </c>
      <c r="I432" s="2" t="s">
        <v>26</v>
      </c>
      <c r="J432" s="2" t="s">
        <v>474</v>
      </c>
      <c r="K432" s="2" t="s">
        <v>411</v>
      </c>
      <c r="L432" s="3">
        <v>0.41666666666666669</v>
      </c>
      <c r="M432" s="2" t="s">
        <v>583</v>
      </c>
      <c r="N432" s="2" t="s">
        <v>500</v>
      </c>
      <c r="O432" s="2"/>
    </row>
    <row r="433" spans="1:15" x14ac:dyDescent="0.25">
      <c r="A433" s="2" t="s">
        <v>15</v>
      </c>
      <c r="B433" s="2" t="str">
        <f>"FES1162767967"</f>
        <v>FES1162767967</v>
      </c>
      <c r="C433" s="2" t="s">
        <v>174</v>
      </c>
      <c r="D433" s="2">
        <v>1</v>
      </c>
      <c r="E433" s="2" t="str">
        <f>"2170755907"</f>
        <v>2170755907</v>
      </c>
      <c r="F433" s="2" t="s">
        <v>17</v>
      </c>
      <c r="G433" s="2" t="s">
        <v>18</v>
      </c>
      <c r="H433" s="2" t="s">
        <v>18</v>
      </c>
      <c r="I433" s="2" t="s">
        <v>50</v>
      </c>
      <c r="J433" s="2" t="s">
        <v>51</v>
      </c>
      <c r="K433" s="2" t="s">
        <v>411</v>
      </c>
      <c r="L433" s="3">
        <v>0.46388888888888885</v>
      </c>
      <c r="M433" s="2" t="s">
        <v>557</v>
      </c>
      <c r="N433" s="2" t="s">
        <v>500</v>
      </c>
      <c r="O433" s="2"/>
    </row>
    <row r="434" spans="1:15" x14ac:dyDescent="0.25">
      <c r="A434" s="2" t="s">
        <v>15</v>
      </c>
      <c r="B434" s="2" t="str">
        <f>"FES1162767935"</f>
        <v>FES1162767935</v>
      </c>
      <c r="C434" s="2" t="s">
        <v>174</v>
      </c>
      <c r="D434" s="2">
        <v>1</v>
      </c>
      <c r="E434" s="2" t="str">
        <f>"2170753407"</f>
        <v>2170753407</v>
      </c>
      <c r="F434" s="2" t="s">
        <v>17</v>
      </c>
      <c r="G434" s="2" t="s">
        <v>18</v>
      </c>
      <c r="H434" s="2" t="s">
        <v>18</v>
      </c>
      <c r="I434" s="2" t="s">
        <v>57</v>
      </c>
      <c r="J434" s="2" t="s">
        <v>475</v>
      </c>
      <c r="K434" s="2" t="s">
        <v>411</v>
      </c>
      <c r="L434" s="3">
        <v>0.32222222222222224</v>
      </c>
      <c r="M434" s="2" t="s">
        <v>584</v>
      </c>
      <c r="N434" s="2" t="s">
        <v>500</v>
      </c>
      <c r="O434" s="2"/>
    </row>
    <row r="435" spans="1:15" x14ac:dyDescent="0.25">
      <c r="A435" s="2" t="s">
        <v>15</v>
      </c>
      <c r="B435" s="2" t="str">
        <f>"FES1162767979"</f>
        <v>FES1162767979</v>
      </c>
      <c r="C435" s="2" t="s">
        <v>174</v>
      </c>
      <c r="D435" s="2">
        <v>1</v>
      </c>
      <c r="E435" s="2" t="str">
        <f>"2170755922"</f>
        <v>2170755922</v>
      </c>
      <c r="F435" s="2" t="s">
        <v>17</v>
      </c>
      <c r="G435" s="2" t="s">
        <v>18</v>
      </c>
      <c r="H435" s="2" t="s">
        <v>19</v>
      </c>
      <c r="I435" s="2" t="s">
        <v>20</v>
      </c>
      <c r="J435" s="2" t="s">
        <v>21</v>
      </c>
      <c r="K435" s="2" t="s">
        <v>411</v>
      </c>
      <c r="L435" s="3">
        <v>0.3659722222222222</v>
      </c>
      <c r="M435" s="2" t="s">
        <v>263</v>
      </c>
      <c r="N435" s="2" t="s">
        <v>500</v>
      </c>
      <c r="O435" s="2"/>
    </row>
    <row r="436" spans="1:15" x14ac:dyDescent="0.25">
      <c r="A436" s="2" t="s">
        <v>15</v>
      </c>
      <c r="B436" s="2" t="str">
        <f>"FES1162767868"</f>
        <v>FES1162767868</v>
      </c>
      <c r="C436" s="2" t="s">
        <v>174</v>
      </c>
      <c r="D436" s="2">
        <v>1</v>
      </c>
      <c r="E436" s="2" t="str">
        <f>"2170755296"</f>
        <v>2170755296</v>
      </c>
      <c r="F436" s="2" t="s">
        <v>17</v>
      </c>
      <c r="G436" s="2" t="s">
        <v>18</v>
      </c>
      <c r="H436" s="2" t="s">
        <v>36</v>
      </c>
      <c r="I436" s="2" t="s">
        <v>37</v>
      </c>
      <c r="J436" s="2" t="s">
        <v>476</v>
      </c>
      <c r="K436" s="2" t="s">
        <v>411</v>
      </c>
      <c r="L436" s="3">
        <v>0.40277777777777773</v>
      </c>
      <c r="M436" s="2" t="s">
        <v>585</v>
      </c>
      <c r="N436" s="2" t="s">
        <v>500</v>
      </c>
      <c r="O436" s="2"/>
    </row>
    <row r="437" spans="1:15" x14ac:dyDescent="0.25">
      <c r="A437" s="2" t="s">
        <v>15</v>
      </c>
      <c r="B437" s="2" t="str">
        <f>"FES1162767970"</f>
        <v>FES1162767970</v>
      </c>
      <c r="C437" s="2" t="s">
        <v>174</v>
      </c>
      <c r="D437" s="2">
        <v>1</v>
      </c>
      <c r="E437" s="2" t="str">
        <f>"2170755911"</f>
        <v>2170755911</v>
      </c>
      <c r="F437" s="2" t="s">
        <v>17</v>
      </c>
      <c r="G437" s="2" t="s">
        <v>18</v>
      </c>
      <c r="H437" s="2" t="s">
        <v>36</v>
      </c>
      <c r="I437" s="2" t="s">
        <v>134</v>
      </c>
      <c r="J437" s="2" t="s">
        <v>135</v>
      </c>
      <c r="K437" s="2" t="s">
        <v>411</v>
      </c>
      <c r="L437" s="3">
        <v>0.50972222222222219</v>
      </c>
      <c r="M437" s="2" t="s">
        <v>586</v>
      </c>
      <c r="N437" s="2" t="s">
        <v>500</v>
      </c>
      <c r="O437" s="2"/>
    </row>
    <row r="438" spans="1:15" x14ac:dyDescent="0.25">
      <c r="A438" s="2" t="s">
        <v>15</v>
      </c>
      <c r="B438" s="2" t="str">
        <f>"FES1162767976"</f>
        <v>FES1162767976</v>
      </c>
      <c r="C438" s="2" t="s">
        <v>174</v>
      </c>
      <c r="D438" s="2">
        <v>1</v>
      </c>
      <c r="E438" s="2" t="str">
        <f>"2170755894"</f>
        <v>2170755894</v>
      </c>
      <c r="F438" s="2" t="s">
        <v>17</v>
      </c>
      <c r="G438" s="2" t="s">
        <v>18</v>
      </c>
      <c r="H438" s="2" t="s">
        <v>36</v>
      </c>
      <c r="I438" s="2" t="s">
        <v>134</v>
      </c>
      <c r="J438" s="2" t="s">
        <v>135</v>
      </c>
      <c r="K438" s="2" t="s">
        <v>411</v>
      </c>
      <c r="L438" s="3">
        <v>0.50972222222222219</v>
      </c>
      <c r="M438" s="2" t="s">
        <v>586</v>
      </c>
      <c r="N438" s="2" t="s">
        <v>500</v>
      </c>
      <c r="O438" s="2"/>
    </row>
    <row r="439" spans="1:15" x14ac:dyDescent="0.25">
      <c r="A439" s="2" t="s">
        <v>15</v>
      </c>
      <c r="B439" s="2" t="str">
        <f>"FES1162767949"</f>
        <v>FES1162767949</v>
      </c>
      <c r="C439" s="2" t="s">
        <v>174</v>
      </c>
      <c r="D439" s="2">
        <v>1</v>
      </c>
      <c r="E439" s="2" t="str">
        <f>"2170752857"</f>
        <v>2170752857</v>
      </c>
      <c r="F439" s="2" t="s">
        <v>17</v>
      </c>
      <c r="G439" s="2" t="s">
        <v>18</v>
      </c>
      <c r="H439" s="2" t="s">
        <v>36</v>
      </c>
      <c r="I439" s="2" t="s">
        <v>37</v>
      </c>
      <c r="J439" s="2" t="s">
        <v>162</v>
      </c>
      <c r="K439" s="2" t="s">
        <v>411</v>
      </c>
      <c r="L439" s="3">
        <v>0.33402777777777781</v>
      </c>
      <c r="M439" s="2" t="s">
        <v>268</v>
      </c>
      <c r="N439" s="2" t="s">
        <v>500</v>
      </c>
      <c r="O439" s="2"/>
    </row>
    <row r="440" spans="1:15" x14ac:dyDescent="0.25">
      <c r="A440" s="2" t="s">
        <v>15</v>
      </c>
      <c r="B440" s="2" t="str">
        <f>"FES1162767994"</f>
        <v>FES1162767994</v>
      </c>
      <c r="C440" s="2" t="s">
        <v>174</v>
      </c>
      <c r="D440" s="2">
        <v>1</v>
      </c>
      <c r="E440" s="2" t="str">
        <f>"2170755942"</f>
        <v>2170755942</v>
      </c>
      <c r="F440" s="2" t="s">
        <v>17</v>
      </c>
      <c r="G440" s="2" t="s">
        <v>18</v>
      </c>
      <c r="H440" s="2" t="s">
        <v>19</v>
      </c>
      <c r="I440" s="2" t="s">
        <v>111</v>
      </c>
      <c r="J440" s="2" t="s">
        <v>70</v>
      </c>
      <c r="K440" s="2" t="s">
        <v>411</v>
      </c>
      <c r="L440" s="3">
        <v>0.3840277777777778</v>
      </c>
      <c r="M440" s="2" t="s">
        <v>587</v>
      </c>
      <c r="N440" s="2" t="s">
        <v>500</v>
      </c>
      <c r="O440" s="2"/>
    </row>
    <row r="441" spans="1:15" x14ac:dyDescent="0.25">
      <c r="A441" s="2" t="s">
        <v>15</v>
      </c>
      <c r="B441" s="2" t="str">
        <f>"FES1162767989"</f>
        <v>FES1162767989</v>
      </c>
      <c r="C441" s="2" t="s">
        <v>174</v>
      </c>
      <c r="D441" s="2">
        <v>1</v>
      </c>
      <c r="E441" s="2" t="str">
        <f>"2170755935"</f>
        <v>2170755935</v>
      </c>
      <c r="F441" s="2" t="s">
        <v>17</v>
      </c>
      <c r="G441" s="2" t="s">
        <v>18</v>
      </c>
      <c r="H441" s="2" t="s">
        <v>36</v>
      </c>
      <c r="I441" s="2" t="s">
        <v>37</v>
      </c>
      <c r="J441" s="2" t="s">
        <v>477</v>
      </c>
      <c r="K441" s="2" t="s">
        <v>411</v>
      </c>
      <c r="L441" s="3">
        <v>0.3430555555555555</v>
      </c>
      <c r="M441" s="2" t="s">
        <v>588</v>
      </c>
      <c r="N441" s="2" t="s">
        <v>500</v>
      </c>
      <c r="O441" s="2"/>
    </row>
    <row r="442" spans="1:15" x14ac:dyDescent="0.25">
      <c r="A442" s="2" t="s">
        <v>15</v>
      </c>
      <c r="B442" s="2" t="str">
        <f>"FES1162767974"</f>
        <v>FES1162767974</v>
      </c>
      <c r="C442" s="2" t="s">
        <v>174</v>
      </c>
      <c r="D442" s="2">
        <v>1</v>
      </c>
      <c r="E442" s="2" t="str">
        <f>"2170755915"</f>
        <v>2170755915</v>
      </c>
      <c r="F442" s="2" t="s">
        <v>17</v>
      </c>
      <c r="G442" s="2" t="s">
        <v>18</v>
      </c>
      <c r="H442" s="2" t="s">
        <v>36</v>
      </c>
      <c r="I442" s="2" t="s">
        <v>37</v>
      </c>
      <c r="J442" s="2" t="s">
        <v>55</v>
      </c>
      <c r="K442" s="2" t="s">
        <v>411</v>
      </c>
      <c r="L442" s="3">
        <v>0.36805555555555558</v>
      </c>
      <c r="M442" s="2" t="s">
        <v>305</v>
      </c>
      <c r="N442" s="2" t="s">
        <v>500</v>
      </c>
      <c r="O442" s="2"/>
    </row>
    <row r="443" spans="1:15" x14ac:dyDescent="0.25">
      <c r="A443" s="2" t="s">
        <v>15</v>
      </c>
      <c r="B443" s="2" t="str">
        <f>"FES1162767957"</f>
        <v>FES1162767957</v>
      </c>
      <c r="C443" s="2" t="s">
        <v>174</v>
      </c>
      <c r="D443" s="2">
        <v>1</v>
      </c>
      <c r="E443" s="2" t="str">
        <f>"2170755896"</f>
        <v>2170755896</v>
      </c>
      <c r="F443" s="2" t="s">
        <v>17</v>
      </c>
      <c r="G443" s="2" t="s">
        <v>18</v>
      </c>
      <c r="H443" s="2" t="s">
        <v>18</v>
      </c>
      <c r="I443" s="2" t="s">
        <v>478</v>
      </c>
      <c r="J443" s="2" t="s">
        <v>479</v>
      </c>
      <c r="K443" s="2" t="s">
        <v>411</v>
      </c>
      <c r="L443" s="3">
        <v>0.3576388888888889</v>
      </c>
      <c r="M443" s="2" t="s">
        <v>589</v>
      </c>
      <c r="N443" s="2" t="s">
        <v>500</v>
      </c>
      <c r="O443" s="2"/>
    </row>
    <row r="444" spans="1:15" x14ac:dyDescent="0.25">
      <c r="A444" s="2" t="s">
        <v>15</v>
      </c>
      <c r="B444" s="2" t="str">
        <f>"FES1162767987"</f>
        <v>FES1162767987</v>
      </c>
      <c r="C444" s="2" t="s">
        <v>174</v>
      </c>
      <c r="D444" s="2">
        <v>1</v>
      </c>
      <c r="E444" s="2" t="str">
        <f>"2170755932"</f>
        <v>2170755932</v>
      </c>
      <c r="F444" s="2" t="s">
        <v>480</v>
      </c>
      <c r="G444" s="2" t="s">
        <v>18</v>
      </c>
      <c r="H444" s="2" t="s">
        <v>18</v>
      </c>
      <c r="I444" s="2" t="s">
        <v>50</v>
      </c>
      <c r="J444" s="2" t="s">
        <v>481</v>
      </c>
      <c r="K444" s="2" t="s">
        <v>411</v>
      </c>
      <c r="L444" s="3">
        <v>0.4375</v>
      </c>
      <c r="M444" s="2" t="s">
        <v>558</v>
      </c>
      <c r="N444" s="2" t="s">
        <v>500</v>
      </c>
      <c r="O444" s="2"/>
    </row>
    <row r="445" spans="1:15" x14ac:dyDescent="0.25">
      <c r="A445" s="2" t="s">
        <v>15</v>
      </c>
      <c r="B445" s="2" t="str">
        <f>"FES1162767992"</f>
        <v>FES1162767992</v>
      </c>
      <c r="C445" s="2" t="s">
        <v>174</v>
      </c>
      <c r="D445" s="2">
        <v>1</v>
      </c>
      <c r="E445" s="2" t="str">
        <f>"2170755941"</f>
        <v>2170755941</v>
      </c>
      <c r="F445" s="2" t="s">
        <v>17</v>
      </c>
      <c r="G445" s="2" t="s">
        <v>18</v>
      </c>
      <c r="H445" s="2" t="s">
        <v>19</v>
      </c>
      <c r="I445" s="2" t="s">
        <v>20</v>
      </c>
      <c r="J445" s="2" t="s">
        <v>482</v>
      </c>
      <c r="K445" s="2" t="s">
        <v>411</v>
      </c>
      <c r="L445" s="3">
        <v>0.4465277777777778</v>
      </c>
      <c r="M445" s="2" t="s">
        <v>590</v>
      </c>
      <c r="N445" s="2" t="s">
        <v>500</v>
      </c>
      <c r="O445" s="2"/>
    </row>
    <row r="446" spans="1:15" x14ac:dyDescent="0.25">
      <c r="A446" s="2" t="s">
        <v>15</v>
      </c>
      <c r="B446" s="2" t="str">
        <f>"FES1162767939"</f>
        <v>FES1162767939</v>
      </c>
      <c r="C446" s="2" t="s">
        <v>174</v>
      </c>
      <c r="D446" s="2">
        <v>1</v>
      </c>
      <c r="E446" s="2" t="str">
        <f>"2170754252"</f>
        <v>2170754252</v>
      </c>
      <c r="F446" s="2" t="s">
        <v>17</v>
      </c>
      <c r="G446" s="2" t="s">
        <v>18</v>
      </c>
      <c r="H446" s="2" t="s">
        <v>18</v>
      </c>
      <c r="I446" s="2" t="s">
        <v>163</v>
      </c>
      <c r="J446" s="2" t="s">
        <v>483</v>
      </c>
      <c r="K446" s="2" t="s">
        <v>411</v>
      </c>
      <c r="L446" s="3">
        <v>0.33333333333333331</v>
      </c>
      <c r="M446" s="2" t="s">
        <v>591</v>
      </c>
      <c r="N446" s="2" t="s">
        <v>500</v>
      </c>
      <c r="O446" s="2"/>
    </row>
    <row r="447" spans="1:15" x14ac:dyDescent="0.25">
      <c r="A447" s="2" t="s">
        <v>15</v>
      </c>
      <c r="B447" s="2" t="str">
        <f>"FES1162767985"</f>
        <v>FES1162767985</v>
      </c>
      <c r="C447" s="2" t="s">
        <v>174</v>
      </c>
      <c r="D447" s="2">
        <v>1</v>
      </c>
      <c r="E447" s="2" t="str">
        <f>"2170755895"</f>
        <v>2170755895</v>
      </c>
      <c r="F447" s="2" t="s">
        <v>17</v>
      </c>
      <c r="G447" s="2" t="s">
        <v>18</v>
      </c>
      <c r="H447" s="2" t="s">
        <v>484</v>
      </c>
      <c r="I447" s="2" t="s">
        <v>485</v>
      </c>
      <c r="J447" s="2" t="s">
        <v>486</v>
      </c>
      <c r="K447" s="2" t="s">
        <v>411</v>
      </c>
      <c r="L447" s="3">
        <v>0.73888888888888893</v>
      </c>
      <c r="M447" s="2" t="s">
        <v>288</v>
      </c>
      <c r="N447" s="2" t="s">
        <v>500</v>
      </c>
      <c r="O447" s="2"/>
    </row>
    <row r="448" spans="1:15" x14ac:dyDescent="0.25">
      <c r="A448" s="2" t="s">
        <v>15</v>
      </c>
      <c r="B448" s="2" t="str">
        <f>"FES1162767977"</f>
        <v>FES1162767977</v>
      </c>
      <c r="C448" s="2" t="s">
        <v>174</v>
      </c>
      <c r="D448" s="2">
        <v>1</v>
      </c>
      <c r="E448" s="2" t="str">
        <f>"2170755917"</f>
        <v>2170755917</v>
      </c>
      <c r="F448" s="2" t="s">
        <v>17</v>
      </c>
      <c r="G448" s="2" t="s">
        <v>18</v>
      </c>
      <c r="H448" s="2" t="s">
        <v>88</v>
      </c>
      <c r="I448" s="2" t="s">
        <v>109</v>
      </c>
      <c r="J448" s="2" t="s">
        <v>487</v>
      </c>
      <c r="K448" s="2" t="s">
        <v>411</v>
      </c>
      <c r="L448" s="3">
        <v>0.42708333333333331</v>
      </c>
      <c r="M448" s="2" t="s">
        <v>592</v>
      </c>
      <c r="N448" s="2" t="s">
        <v>500</v>
      </c>
      <c r="O448" s="2"/>
    </row>
    <row r="449" spans="1:15" x14ac:dyDescent="0.25">
      <c r="A449" s="2" t="s">
        <v>15</v>
      </c>
      <c r="B449" s="2" t="str">
        <f>"FES1162767740"</f>
        <v>FES1162767740</v>
      </c>
      <c r="C449" s="2" t="s">
        <v>174</v>
      </c>
      <c r="D449" s="2">
        <v>2</v>
      </c>
      <c r="E449" s="2" t="str">
        <f>"2170750926"</f>
        <v>2170750926</v>
      </c>
      <c r="F449" s="2" t="s">
        <v>205</v>
      </c>
      <c r="G449" s="2" t="s">
        <v>206</v>
      </c>
      <c r="H449" s="2" t="s">
        <v>25</v>
      </c>
      <c r="I449" s="2" t="s">
        <v>26</v>
      </c>
      <c r="J449" s="2" t="s">
        <v>422</v>
      </c>
      <c r="K449" s="2" t="s">
        <v>698</v>
      </c>
      <c r="L449" s="3">
        <v>0.36180555555555555</v>
      </c>
      <c r="M449" s="2" t="s">
        <v>801</v>
      </c>
      <c r="N449" s="2" t="s">
        <v>500</v>
      </c>
      <c r="O449" s="2"/>
    </row>
    <row r="450" spans="1:15" x14ac:dyDescent="0.25">
      <c r="A450" s="2" t="s">
        <v>15</v>
      </c>
      <c r="B450" s="2" t="str">
        <f>"FES1162767953"</f>
        <v>FES1162767953</v>
      </c>
      <c r="C450" s="2" t="s">
        <v>174</v>
      </c>
      <c r="D450" s="2">
        <v>2</v>
      </c>
      <c r="E450" s="2" t="str">
        <f>"2170755422"</f>
        <v>2170755422</v>
      </c>
      <c r="F450" s="2" t="s">
        <v>17</v>
      </c>
      <c r="G450" s="2" t="s">
        <v>18</v>
      </c>
      <c r="H450" s="2" t="s">
        <v>30</v>
      </c>
      <c r="I450" s="2" t="s">
        <v>444</v>
      </c>
      <c r="J450" s="2" t="s">
        <v>488</v>
      </c>
      <c r="K450" s="2" t="s">
        <v>411</v>
      </c>
      <c r="L450" s="3">
        <v>0.45347222222222222</v>
      </c>
      <c r="M450" s="2" t="s">
        <v>552</v>
      </c>
      <c r="N450" s="2" t="s">
        <v>500</v>
      </c>
      <c r="O450" s="2"/>
    </row>
    <row r="451" spans="1:15" x14ac:dyDescent="0.25">
      <c r="A451" s="2" t="s">
        <v>15</v>
      </c>
      <c r="B451" s="2" t="str">
        <f>"FES1162767954"</f>
        <v>FES1162767954</v>
      </c>
      <c r="C451" s="2" t="s">
        <v>174</v>
      </c>
      <c r="D451" s="2">
        <v>1</v>
      </c>
      <c r="E451" s="2" t="str">
        <f>"2170755682"</f>
        <v>2170755682</v>
      </c>
      <c r="F451" s="2" t="s">
        <v>17</v>
      </c>
      <c r="G451" s="2" t="s">
        <v>18</v>
      </c>
      <c r="H451" s="2" t="s">
        <v>363</v>
      </c>
      <c r="I451" s="2" t="s">
        <v>364</v>
      </c>
      <c r="J451" s="2" t="s">
        <v>365</v>
      </c>
      <c r="K451" s="2" t="s">
        <v>411</v>
      </c>
      <c r="L451" s="3">
        <v>0.43055555555555558</v>
      </c>
      <c r="M451" s="2" t="s">
        <v>593</v>
      </c>
      <c r="N451" s="2" t="s">
        <v>500</v>
      </c>
      <c r="O451" s="2"/>
    </row>
    <row r="452" spans="1:15" x14ac:dyDescent="0.25">
      <c r="A452" s="2" t="s">
        <v>15</v>
      </c>
      <c r="B452" s="2" t="str">
        <f>"FES1162768005"</f>
        <v>FES1162768005</v>
      </c>
      <c r="C452" s="2" t="s">
        <v>174</v>
      </c>
      <c r="D452" s="2">
        <v>1</v>
      </c>
      <c r="E452" s="2" t="str">
        <f>"2170755951"</f>
        <v>2170755951</v>
      </c>
      <c r="F452" s="2" t="s">
        <v>17</v>
      </c>
      <c r="G452" s="2" t="s">
        <v>18</v>
      </c>
      <c r="H452" s="2" t="s">
        <v>363</v>
      </c>
      <c r="I452" s="2" t="s">
        <v>489</v>
      </c>
      <c r="J452" s="2" t="s">
        <v>490</v>
      </c>
      <c r="K452" s="2" t="s">
        <v>411</v>
      </c>
      <c r="L452" s="3">
        <v>0.54166666666666663</v>
      </c>
      <c r="M452" s="2" t="s">
        <v>594</v>
      </c>
      <c r="N452" s="2" t="s">
        <v>500</v>
      </c>
      <c r="O452" s="2"/>
    </row>
    <row r="453" spans="1:15" x14ac:dyDescent="0.25">
      <c r="A453" s="2" t="s">
        <v>15</v>
      </c>
      <c r="B453" s="2" t="str">
        <f>"FES1162768000"</f>
        <v>FES1162768000</v>
      </c>
      <c r="C453" s="2" t="s">
        <v>174</v>
      </c>
      <c r="D453" s="2">
        <v>1</v>
      </c>
      <c r="E453" s="2" t="str">
        <f>"2170755940"</f>
        <v>2170755940</v>
      </c>
      <c r="F453" s="2" t="s">
        <v>17</v>
      </c>
      <c r="G453" s="2" t="s">
        <v>18</v>
      </c>
      <c r="H453" s="2" t="s">
        <v>19</v>
      </c>
      <c r="I453" s="2" t="s">
        <v>73</v>
      </c>
      <c r="J453" s="2" t="s">
        <v>491</v>
      </c>
      <c r="K453" s="2" t="s">
        <v>411</v>
      </c>
      <c r="L453" s="3">
        <v>0.34027777777777773</v>
      </c>
      <c r="M453" s="2" t="s">
        <v>595</v>
      </c>
      <c r="N453" s="2" t="s">
        <v>500</v>
      </c>
      <c r="O453" s="2"/>
    </row>
    <row r="454" spans="1:15" x14ac:dyDescent="0.25">
      <c r="A454" s="2" t="s">
        <v>15</v>
      </c>
      <c r="B454" s="2" t="str">
        <f>"FES1162768007"</f>
        <v>FES1162768007</v>
      </c>
      <c r="C454" s="2" t="s">
        <v>174</v>
      </c>
      <c r="D454" s="2">
        <v>1</v>
      </c>
      <c r="E454" s="2" t="str">
        <f>"2170755955"</f>
        <v>2170755955</v>
      </c>
      <c r="F454" s="2" t="s">
        <v>17</v>
      </c>
      <c r="G454" s="2" t="s">
        <v>18</v>
      </c>
      <c r="H454" s="2" t="s">
        <v>36</v>
      </c>
      <c r="I454" s="2" t="s">
        <v>37</v>
      </c>
      <c r="J454" s="2" t="s">
        <v>378</v>
      </c>
      <c r="K454" s="2" t="s">
        <v>411</v>
      </c>
      <c r="L454" s="3">
        <v>0.43055555555555558</v>
      </c>
      <c r="M454" s="2" t="s">
        <v>379</v>
      </c>
      <c r="N454" s="2" t="s">
        <v>500</v>
      </c>
      <c r="O454" s="2"/>
    </row>
    <row r="455" spans="1:15" x14ac:dyDescent="0.25">
      <c r="A455" s="2" t="s">
        <v>15</v>
      </c>
      <c r="B455" s="2" t="str">
        <f>"FES1162767965"</f>
        <v>FES1162767965</v>
      </c>
      <c r="C455" s="2" t="s">
        <v>174</v>
      </c>
      <c r="D455" s="2">
        <v>1</v>
      </c>
      <c r="E455" s="2" t="str">
        <f>"2170755905"</f>
        <v>2170755905</v>
      </c>
      <c r="F455" s="2" t="s">
        <v>17</v>
      </c>
      <c r="G455" s="2" t="s">
        <v>18</v>
      </c>
      <c r="H455" s="2" t="s">
        <v>18</v>
      </c>
      <c r="I455" s="2" t="s">
        <v>63</v>
      </c>
      <c r="J455" s="2" t="s">
        <v>93</v>
      </c>
      <c r="K455" s="2" t="s">
        <v>411</v>
      </c>
      <c r="L455" s="3">
        <v>0.37222222222222223</v>
      </c>
      <c r="M455" s="2" t="s">
        <v>397</v>
      </c>
      <c r="N455" s="2" t="s">
        <v>500</v>
      </c>
      <c r="O455" s="2"/>
    </row>
    <row r="456" spans="1:15" x14ac:dyDescent="0.25">
      <c r="A456" s="2" t="s">
        <v>15</v>
      </c>
      <c r="B456" s="2" t="str">
        <f>"FES1162767897"</f>
        <v>FES1162767897</v>
      </c>
      <c r="C456" s="2" t="s">
        <v>174</v>
      </c>
      <c r="D456" s="2">
        <v>1</v>
      </c>
      <c r="E456" s="2" t="str">
        <f>"2170753690"</f>
        <v>2170753690</v>
      </c>
      <c r="F456" s="2" t="s">
        <v>17</v>
      </c>
      <c r="G456" s="2" t="s">
        <v>18</v>
      </c>
      <c r="H456" s="2" t="s">
        <v>18</v>
      </c>
      <c r="I456" s="2" t="s">
        <v>57</v>
      </c>
      <c r="J456" s="2" t="s">
        <v>415</v>
      </c>
      <c r="K456" s="2" t="s">
        <v>411</v>
      </c>
      <c r="L456" s="3">
        <v>0.45833333333333331</v>
      </c>
      <c r="M456" s="2" t="s">
        <v>515</v>
      </c>
      <c r="N456" s="2" t="s">
        <v>500</v>
      </c>
      <c r="O456" s="2"/>
    </row>
    <row r="457" spans="1:15" x14ac:dyDescent="0.25">
      <c r="A457" s="2" t="s">
        <v>15</v>
      </c>
      <c r="B457" s="2" t="str">
        <f>"FES1162767978"</f>
        <v>FES1162767978</v>
      </c>
      <c r="C457" s="2" t="s">
        <v>174</v>
      </c>
      <c r="D457" s="2">
        <v>1</v>
      </c>
      <c r="E457" s="2" t="str">
        <f>"2170755920"</f>
        <v>2170755920</v>
      </c>
      <c r="F457" s="2" t="s">
        <v>17</v>
      </c>
      <c r="G457" s="2" t="s">
        <v>18</v>
      </c>
      <c r="H457" s="2" t="s">
        <v>18</v>
      </c>
      <c r="I457" s="2" t="s">
        <v>65</v>
      </c>
      <c r="J457" s="2" t="s">
        <v>66</v>
      </c>
      <c r="K457" s="2" t="s">
        <v>411</v>
      </c>
      <c r="L457" s="3">
        <v>0.34513888888888888</v>
      </c>
      <c r="M457" s="2" t="s">
        <v>596</v>
      </c>
      <c r="N457" s="2" t="s">
        <v>500</v>
      </c>
      <c r="O457" s="2"/>
    </row>
    <row r="458" spans="1:15" x14ac:dyDescent="0.25">
      <c r="A458" s="2" t="s">
        <v>15</v>
      </c>
      <c r="B458" s="2" t="str">
        <f>"FES1162767999"</f>
        <v>FES1162767999</v>
      </c>
      <c r="C458" s="2" t="s">
        <v>174</v>
      </c>
      <c r="D458" s="2">
        <v>1</v>
      </c>
      <c r="E458" s="2" t="str">
        <f>"2170755920"</f>
        <v>2170755920</v>
      </c>
      <c r="F458" s="2" t="s">
        <v>17</v>
      </c>
      <c r="G458" s="2" t="s">
        <v>18</v>
      </c>
      <c r="H458" s="2" t="s">
        <v>18</v>
      </c>
      <c r="I458" s="2" t="s">
        <v>65</v>
      </c>
      <c r="J458" s="2" t="s">
        <v>66</v>
      </c>
      <c r="K458" s="2" t="s">
        <v>411</v>
      </c>
      <c r="L458" s="3">
        <v>0.34513888888888888</v>
      </c>
      <c r="M458" s="2" t="s">
        <v>596</v>
      </c>
      <c r="N458" s="2" t="s">
        <v>500</v>
      </c>
      <c r="O458" s="2"/>
    </row>
    <row r="459" spans="1:15" x14ac:dyDescent="0.25">
      <c r="A459" s="2" t="s">
        <v>15</v>
      </c>
      <c r="B459" s="2" t="str">
        <f>"FES1162767980"</f>
        <v>FES1162767980</v>
      </c>
      <c r="C459" s="2" t="s">
        <v>174</v>
      </c>
      <c r="D459" s="2">
        <v>1</v>
      </c>
      <c r="E459" s="2" t="str">
        <f>"2170755923"</f>
        <v>2170755923</v>
      </c>
      <c r="F459" s="2" t="s">
        <v>17</v>
      </c>
      <c r="G459" s="2" t="s">
        <v>18</v>
      </c>
      <c r="H459" s="2" t="s">
        <v>18</v>
      </c>
      <c r="I459" s="2" t="s">
        <v>290</v>
      </c>
      <c r="J459" s="2" t="s">
        <v>492</v>
      </c>
      <c r="K459" s="2" t="s">
        <v>411</v>
      </c>
      <c r="L459" s="3">
        <v>0.38125000000000003</v>
      </c>
      <c r="M459" s="2" t="s">
        <v>597</v>
      </c>
      <c r="N459" s="2" t="s">
        <v>500</v>
      </c>
      <c r="O459" s="2"/>
    </row>
    <row r="460" spans="1:15" x14ac:dyDescent="0.25">
      <c r="A460" s="2" t="s">
        <v>15</v>
      </c>
      <c r="B460" s="2" t="str">
        <f>"FES1162767971"</f>
        <v>FES1162767971</v>
      </c>
      <c r="C460" s="2" t="s">
        <v>174</v>
      </c>
      <c r="D460" s="2">
        <v>1</v>
      </c>
      <c r="E460" s="2" t="str">
        <f>"2170755912"</f>
        <v>2170755912</v>
      </c>
      <c r="F460" s="2" t="s">
        <v>17</v>
      </c>
      <c r="G460" s="2" t="s">
        <v>18</v>
      </c>
      <c r="H460" s="2" t="s">
        <v>18</v>
      </c>
      <c r="I460" s="2" t="s">
        <v>116</v>
      </c>
      <c r="J460" s="2" t="s">
        <v>493</v>
      </c>
      <c r="K460" s="2" t="s">
        <v>411</v>
      </c>
      <c r="L460" s="3">
        <v>0.41666666666666669</v>
      </c>
      <c r="M460" s="2" t="s">
        <v>598</v>
      </c>
      <c r="N460" s="2" t="s">
        <v>500</v>
      </c>
      <c r="O460" s="2"/>
    </row>
    <row r="461" spans="1:15" x14ac:dyDescent="0.25">
      <c r="A461" s="2" t="s">
        <v>15</v>
      </c>
      <c r="B461" s="2" t="str">
        <f>"FES1162767991"</f>
        <v>FES1162767991</v>
      </c>
      <c r="C461" s="2" t="s">
        <v>174</v>
      </c>
      <c r="D461" s="2">
        <v>1</v>
      </c>
      <c r="E461" s="2" t="str">
        <f>"2170755939"</f>
        <v>2170755939</v>
      </c>
      <c r="F461" s="2" t="s">
        <v>17</v>
      </c>
      <c r="G461" s="2" t="s">
        <v>18</v>
      </c>
      <c r="H461" s="2" t="s">
        <v>19</v>
      </c>
      <c r="I461" s="2" t="s">
        <v>20</v>
      </c>
      <c r="J461" s="2" t="s">
        <v>482</v>
      </c>
      <c r="K461" s="2" t="s">
        <v>411</v>
      </c>
      <c r="L461" s="3">
        <v>0.4465277777777778</v>
      </c>
      <c r="M461" s="2" t="s">
        <v>590</v>
      </c>
      <c r="N461" s="2" t="s">
        <v>500</v>
      </c>
      <c r="O461" s="2"/>
    </row>
    <row r="462" spans="1:15" x14ac:dyDescent="0.25">
      <c r="A462" s="2" t="s">
        <v>15</v>
      </c>
      <c r="B462" s="2" t="str">
        <f>"FES1162767950"</f>
        <v>FES1162767950</v>
      </c>
      <c r="C462" s="2" t="s">
        <v>174</v>
      </c>
      <c r="D462" s="2">
        <v>1</v>
      </c>
      <c r="E462" s="2" t="str">
        <f>"2170752868"</f>
        <v>2170752868</v>
      </c>
      <c r="F462" s="2" t="s">
        <v>17</v>
      </c>
      <c r="G462" s="2" t="s">
        <v>18</v>
      </c>
      <c r="H462" s="2" t="s">
        <v>18</v>
      </c>
      <c r="I462" s="2" t="s">
        <v>494</v>
      </c>
      <c r="J462" s="2" t="s">
        <v>495</v>
      </c>
      <c r="K462" s="2" t="s">
        <v>411</v>
      </c>
      <c r="L462" s="3">
        <v>0.40486111111111112</v>
      </c>
      <c r="M462" s="2" t="s">
        <v>599</v>
      </c>
      <c r="N462" s="2" t="s">
        <v>500</v>
      </c>
      <c r="O462" s="2"/>
    </row>
    <row r="463" spans="1:15" x14ac:dyDescent="0.25">
      <c r="A463" s="2" t="s">
        <v>15</v>
      </c>
      <c r="B463" s="2" t="str">
        <f>"FES1162767966"</f>
        <v>FES1162767966</v>
      </c>
      <c r="C463" s="2" t="s">
        <v>174</v>
      </c>
      <c r="D463" s="2">
        <v>1</v>
      </c>
      <c r="E463" s="2" t="str">
        <f>"2170755906"</f>
        <v>2170755906</v>
      </c>
      <c r="F463" s="2" t="s">
        <v>480</v>
      </c>
      <c r="G463" s="2" t="s">
        <v>18</v>
      </c>
      <c r="H463" s="2" t="s">
        <v>18</v>
      </c>
      <c r="I463" s="2" t="s">
        <v>63</v>
      </c>
      <c r="J463" s="2" t="s">
        <v>93</v>
      </c>
      <c r="K463" s="2" t="s">
        <v>411</v>
      </c>
      <c r="L463" s="3">
        <v>0.37152777777777773</v>
      </c>
      <c r="M463" s="2" t="s">
        <v>397</v>
      </c>
      <c r="N463" s="2" t="s">
        <v>500</v>
      </c>
      <c r="O463" s="2"/>
    </row>
    <row r="464" spans="1:15" x14ac:dyDescent="0.25">
      <c r="A464" s="2" t="s">
        <v>15</v>
      </c>
      <c r="B464" s="2" t="str">
        <f>"FES1162767956"</f>
        <v>FES1162767956</v>
      </c>
      <c r="C464" s="2" t="s">
        <v>174</v>
      </c>
      <c r="D464" s="2">
        <v>1</v>
      </c>
      <c r="E464" s="2" t="str">
        <f>"2170755899"</f>
        <v>2170755899</v>
      </c>
      <c r="F464" s="2" t="s">
        <v>17</v>
      </c>
      <c r="G464" s="2" t="s">
        <v>18</v>
      </c>
      <c r="H464" s="2" t="s">
        <v>19</v>
      </c>
      <c r="I464" s="2" t="s">
        <v>130</v>
      </c>
      <c r="J464" s="2" t="s">
        <v>131</v>
      </c>
      <c r="K464" s="2" t="s">
        <v>411</v>
      </c>
      <c r="L464" s="3">
        <v>0.4368055555555555</v>
      </c>
      <c r="M464" s="2" t="s">
        <v>600</v>
      </c>
      <c r="N464" s="2" t="s">
        <v>500</v>
      </c>
      <c r="O464" s="2"/>
    </row>
    <row r="465" spans="1:15" x14ac:dyDescent="0.25">
      <c r="A465" s="2" t="s">
        <v>15</v>
      </c>
      <c r="B465" s="2" t="str">
        <f>"FES1162767870"</f>
        <v>FES1162767870</v>
      </c>
      <c r="C465" s="2" t="s">
        <v>174</v>
      </c>
      <c r="D465" s="2">
        <v>1</v>
      </c>
      <c r="E465" s="2" t="str">
        <f>"2170755837"</f>
        <v>2170755837</v>
      </c>
      <c r="F465" s="2" t="s">
        <v>17</v>
      </c>
      <c r="G465" s="2" t="s">
        <v>18</v>
      </c>
      <c r="H465" s="2" t="s">
        <v>36</v>
      </c>
      <c r="I465" s="2" t="s">
        <v>496</v>
      </c>
      <c r="J465" s="2" t="s">
        <v>497</v>
      </c>
      <c r="K465" s="2" t="s">
        <v>411</v>
      </c>
      <c r="L465" s="3">
        <v>0.68819444444444444</v>
      </c>
      <c r="M465" s="2" t="s">
        <v>601</v>
      </c>
      <c r="N465" s="2" t="s">
        <v>500</v>
      </c>
      <c r="O465" s="2"/>
    </row>
    <row r="466" spans="1:15" x14ac:dyDescent="0.25">
      <c r="A466" s="2" t="s">
        <v>15</v>
      </c>
      <c r="B466" s="2" t="str">
        <f>"FES1162767916"</f>
        <v>FES1162767916</v>
      </c>
      <c r="C466" s="2" t="s">
        <v>174</v>
      </c>
      <c r="D466" s="2">
        <v>1</v>
      </c>
      <c r="E466" s="2" t="str">
        <f>"2170752802"</f>
        <v>2170752802</v>
      </c>
      <c r="F466" s="2" t="s">
        <v>17</v>
      </c>
      <c r="G466" s="2" t="s">
        <v>18</v>
      </c>
      <c r="H466" s="2" t="s">
        <v>36</v>
      </c>
      <c r="I466" s="2" t="s">
        <v>37</v>
      </c>
      <c r="J466" s="2" t="s">
        <v>162</v>
      </c>
      <c r="K466" s="2" t="s">
        <v>411</v>
      </c>
      <c r="L466" s="3">
        <v>0.33402777777777781</v>
      </c>
      <c r="M466" s="2" t="s">
        <v>268</v>
      </c>
      <c r="N466" s="2" t="s">
        <v>500</v>
      </c>
      <c r="O466" s="2"/>
    </row>
    <row r="467" spans="1:15" x14ac:dyDescent="0.25">
      <c r="A467" s="2" t="s">
        <v>15</v>
      </c>
      <c r="B467" s="2" t="str">
        <f>"FES1162767792"</f>
        <v>FES1162767792</v>
      </c>
      <c r="C467" s="2" t="s">
        <v>174</v>
      </c>
      <c r="D467" s="2">
        <v>1</v>
      </c>
      <c r="E467" s="2" t="str">
        <f>"2170755135"</f>
        <v>2170755135</v>
      </c>
      <c r="F467" s="2" t="s">
        <v>17</v>
      </c>
      <c r="G467" s="2" t="s">
        <v>18</v>
      </c>
      <c r="H467" s="2" t="s">
        <v>19</v>
      </c>
      <c r="I467" s="2" t="s">
        <v>136</v>
      </c>
      <c r="J467" s="2" t="s">
        <v>137</v>
      </c>
      <c r="K467" s="2" t="s">
        <v>411</v>
      </c>
      <c r="L467" s="3">
        <v>0.69236111111111109</v>
      </c>
      <c r="M467" s="2" t="s">
        <v>239</v>
      </c>
      <c r="N467" s="2" t="s">
        <v>500</v>
      </c>
      <c r="O467" s="2"/>
    </row>
    <row r="468" spans="1:15" x14ac:dyDescent="0.25">
      <c r="A468" s="2" t="s">
        <v>15</v>
      </c>
      <c r="B468" s="2" t="str">
        <f>"FES1162767951"</f>
        <v>FES1162767951</v>
      </c>
      <c r="C468" s="2" t="s">
        <v>174</v>
      </c>
      <c r="D468" s="2">
        <v>1</v>
      </c>
      <c r="E468" s="2" t="str">
        <f>"2170753296"</f>
        <v>2170753296</v>
      </c>
      <c r="F468" s="2" t="s">
        <v>17</v>
      </c>
      <c r="G468" s="2" t="s">
        <v>18</v>
      </c>
      <c r="H468" s="2" t="s">
        <v>18</v>
      </c>
      <c r="I468" s="2" t="s">
        <v>478</v>
      </c>
      <c r="J468" s="2" t="s">
        <v>498</v>
      </c>
      <c r="K468" s="2" t="s">
        <v>411</v>
      </c>
      <c r="L468" s="3">
        <v>0.41666666666666669</v>
      </c>
      <c r="M468" s="2" t="s">
        <v>602</v>
      </c>
      <c r="N468" s="2" t="s">
        <v>500</v>
      </c>
      <c r="O468" s="2"/>
    </row>
    <row r="469" spans="1:15" x14ac:dyDescent="0.25">
      <c r="A469" s="2" t="s">
        <v>15</v>
      </c>
      <c r="B469" s="2" t="str">
        <f>"FES1162767997"</f>
        <v>FES1162767997</v>
      </c>
      <c r="C469" s="2" t="s">
        <v>174</v>
      </c>
      <c r="D469" s="2">
        <v>1</v>
      </c>
      <c r="E469" s="2" t="str">
        <f>"2170755632"</f>
        <v>2170755632</v>
      </c>
      <c r="F469" s="2" t="s">
        <v>17</v>
      </c>
      <c r="G469" s="2" t="s">
        <v>18</v>
      </c>
      <c r="H469" s="2" t="s">
        <v>78</v>
      </c>
      <c r="I469" s="2" t="s">
        <v>79</v>
      </c>
      <c r="J469" s="2" t="s">
        <v>80</v>
      </c>
      <c r="K469" s="2" t="s">
        <v>698</v>
      </c>
      <c r="L469" s="3">
        <v>0.41666666666666669</v>
      </c>
      <c r="M469" s="2" t="s">
        <v>800</v>
      </c>
      <c r="N469" s="2" t="s">
        <v>500</v>
      </c>
      <c r="O469" s="2"/>
    </row>
    <row r="470" spans="1:15" x14ac:dyDescent="0.25">
      <c r="A470" s="2" t="s">
        <v>15</v>
      </c>
      <c r="B470" s="2" t="str">
        <f>"FES1162767859"</f>
        <v>FES1162767859</v>
      </c>
      <c r="C470" s="2" t="s">
        <v>174</v>
      </c>
      <c r="D470" s="2">
        <v>1</v>
      </c>
      <c r="E470" s="2" t="str">
        <f>"2170749342"</f>
        <v>2170749342</v>
      </c>
      <c r="F470" s="2" t="s">
        <v>17</v>
      </c>
      <c r="G470" s="2" t="s">
        <v>18</v>
      </c>
      <c r="H470" s="2" t="s">
        <v>36</v>
      </c>
      <c r="I470" s="2" t="s">
        <v>37</v>
      </c>
      <c r="J470" s="2" t="s">
        <v>499</v>
      </c>
      <c r="K470" s="2" t="s">
        <v>411</v>
      </c>
      <c r="L470" s="3">
        <v>0.40277777777777773</v>
      </c>
      <c r="M470" s="2" t="s">
        <v>603</v>
      </c>
      <c r="N470" s="2" t="s">
        <v>500</v>
      </c>
      <c r="O470" s="2"/>
    </row>
    <row r="471" spans="1:15" x14ac:dyDescent="0.25">
      <c r="A471" s="2" t="s">
        <v>15</v>
      </c>
      <c r="B471" s="2" t="str">
        <f>"FES1162767906"</f>
        <v>FES1162767906</v>
      </c>
      <c r="C471" s="2" t="s">
        <v>174</v>
      </c>
      <c r="D471" s="2">
        <v>1</v>
      </c>
      <c r="E471" s="2" t="str">
        <f>"2170755882"</f>
        <v>2170755882</v>
      </c>
      <c r="F471" s="2" t="s">
        <v>17</v>
      </c>
      <c r="G471" s="2" t="s">
        <v>18</v>
      </c>
      <c r="H471" s="2" t="s">
        <v>78</v>
      </c>
      <c r="I471" s="2" t="s">
        <v>79</v>
      </c>
      <c r="J471" s="2" t="s">
        <v>80</v>
      </c>
      <c r="K471" s="2" t="s">
        <v>698</v>
      </c>
      <c r="L471" s="3">
        <v>0.41666666666666669</v>
      </c>
      <c r="M471" s="2" t="s">
        <v>800</v>
      </c>
      <c r="N471" s="2" t="s">
        <v>500</v>
      </c>
      <c r="O471" s="2"/>
    </row>
    <row r="472" spans="1:15" x14ac:dyDescent="0.25">
      <c r="A472" s="2" t="s">
        <v>15</v>
      </c>
      <c r="B472" s="2" t="str">
        <f>"FES1162768004"</f>
        <v>FES1162768004</v>
      </c>
      <c r="C472" s="2" t="s">
        <v>174</v>
      </c>
      <c r="D472" s="2">
        <v>2</v>
      </c>
      <c r="E472" s="2" t="str">
        <f>"2170755950"</f>
        <v>2170755950</v>
      </c>
      <c r="F472" s="2" t="s">
        <v>17</v>
      </c>
      <c r="G472" s="2" t="s">
        <v>18</v>
      </c>
      <c r="H472" s="2" t="s">
        <v>36</v>
      </c>
      <c r="I472" s="2" t="s">
        <v>37</v>
      </c>
      <c r="J472" s="2" t="s">
        <v>104</v>
      </c>
      <c r="K472" s="2" t="s">
        <v>411</v>
      </c>
      <c r="L472" s="3">
        <v>0.375</v>
      </c>
      <c r="M472" s="2" t="s">
        <v>221</v>
      </c>
      <c r="N472" s="2" t="s">
        <v>500</v>
      </c>
      <c r="O472" s="2"/>
    </row>
    <row r="473" spans="1:15" x14ac:dyDescent="0.25">
      <c r="A473" s="2" t="s">
        <v>15</v>
      </c>
      <c r="B473" s="2" t="str">
        <f>"FES1162768143"</f>
        <v>FES1162768143</v>
      </c>
      <c r="C473" s="2" t="s">
        <v>411</v>
      </c>
      <c r="D473" s="2">
        <v>1</v>
      </c>
      <c r="E473" s="2" t="str">
        <f>"2170753808"</f>
        <v>2170753808</v>
      </c>
      <c r="F473" s="2" t="s">
        <v>205</v>
      </c>
      <c r="G473" s="2" t="s">
        <v>206</v>
      </c>
      <c r="H473" s="2" t="s">
        <v>25</v>
      </c>
      <c r="I473" s="2" t="s">
        <v>26</v>
      </c>
      <c r="J473" s="2" t="s">
        <v>474</v>
      </c>
      <c r="K473" s="2" t="s">
        <v>802</v>
      </c>
      <c r="L473" s="3">
        <v>0.41666666666666669</v>
      </c>
      <c r="M473" s="2" t="s">
        <v>583</v>
      </c>
      <c r="N473" s="2" t="s">
        <v>500</v>
      </c>
      <c r="O473" s="2"/>
    </row>
    <row r="474" spans="1:15" x14ac:dyDescent="0.25">
      <c r="A474" s="2" t="s">
        <v>15</v>
      </c>
      <c r="B474" s="2" t="str">
        <f>"RFES1162767691"</f>
        <v>RFES1162767691</v>
      </c>
      <c r="C474" s="2" t="s">
        <v>411</v>
      </c>
      <c r="D474" s="2">
        <v>1</v>
      </c>
      <c r="E474" s="2" t="str">
        <f>"2170753724"</f>
        <v>2170753724</v>
      </c>
      <c r="F474" s="2" t="s">
        <v>17</v>
      </c>
      <c r="G474" s="2" t="s">
        <v>18</v>
      </c>
      <c r="H474" s="2" t="s">
        <v>18</v>
      </c>
      <c r="I474" s="2" t="s">
        <v>46</v>
      </c>
      <c r="J474" s="2" t="s">
        <v>170</v>
      </c>
      <c r="K474" s="2" t="s">
        <v>510</v>
      </c>
      <c r="L474" s="3">
        <v>0.40972222222222227</v>
      </c>
      <c r="M474" s="2" t="s">
        <v>262</v>
      </c>
      <c r="N474" s="2" t="s">
        <v>500</v>
      </c>
      <c r="O474" s="2"/>
    </row>
    <row r="475" spans="1:15" x14ac:dyDescent="0.25">
      <c r="A475" s="2" t="s">
        <v>15</v>
      </c>
      <c r="B475" s="2" t="str">
        <f>"FES1162768103"</f>
        <v>FES1162768103</v>
      </c>
      <c r="C475" s="2" t="s">
        <v>411</v>
      </c>
      <c r="D475" s="2">
        <v>3</v>
      </c>
      <c r="E475" s="2" t="str">
        <f>"2170753075"</f>
        <v>2170753075</v>
      </c>
      <c r="F475" s="2" t="s">
        <v>17</v>
      </c>
      <c r="G475" s="2" t="s">
        <v>18</v>
      </c>
      <c r="H475" s="2" t="s">
        <v>25</v>
      </c>
      <c r="I475" s="2" t="s">
        <v>26</v>
      </c>
      <c r="J475" s="2" t="s">
        <v>27</v>
      </c>
      <c r="K475" s="2" t="s">
        <v>510</v>
      </c>
      <c r="L475" s="3">
        <v>0.41736111111111113</v>
      </c>
      <c r="M475" s="2" t="s">
        <v>521</v>
      </c>
      <c r="N475" s="2" t="s">
        <v>500</v>
      </c>
      <c r="O475" s="2"/>
    </row>
    <row r="476" spans="1:15" x14ac:dyDescent="0.25">
      <c r="A476" s="2" t="s">
        <v>15</v>
      </c>
      <c r="B476" s="2" t="str">
        <f>"FES1162768114"</f>
        <v>FES1162768114</v>
      </c>
      <c r="C476" s="2" t="s">
        <v>411</v>
      </c>
      <c r="D476" s="2">
        <v>1</v>
      </c>
      <c r="E476" s="2" t="str">
        <f>"2170756004"</f>
        <v>2170756004</v>
      </c>
      <c r="F476" s="2" t="s">
        <v>17</v>
      </c>
      <c r="G476" s="2" t="s">
        <v>18</v>
      </c>
      <c r="H476" s="2" t="s">
        <v>18</v>
      </c>
      <c r="I476" s="2" t="s">
        <v>116</v>
      </c>
      <c r="J476" s="2" t="s">
        <v>604</v>
      </c>
      <c r="K476" s="2" t="s">
        <v>510</v>
      </c>
      <c r="L476" s="3">
        <v>0.43611111111111112</v>
      </c>
      <c r="M476" s="2" t="s">
        <v>237</v>
      </c>
      <c r="N476" s="2" t="s">
        <v>500</v>
      </c>
      <c r="O476" s="2"/>
    </row>
    <row r="477" spans="1:15" x14ac:dyDescent="0.25">
      <c r="A477" s="2" t="s">
        <v>15</v>
      </c>
      <c r="B477" s="2" t="str">
        <f>"FES1162768081"</f>
        <v>FES1162768081</v>
      </c>
      <c r="C477" s="2" t="s">
        <v>411</v>
      </c>
      <c r="D477" s="2">
        <v>1</v>
      </c>
      <c r="E477" s="2" t="str">
        <f>"2170755970"</f>
        <v>2170755970</v>
      </c>
      <c r="F477" s="2" t="s">
        <v>17</v>
      </c>
      <c r="G477" s="2" t="s">
        <v>18</v>
      </c>
      <c r="H477" s="2" t="s">
        <v>25</v>
      </c>
      <c r="I477" s="2" t="s">
        <v>26</v>
      </c>
      <c r="J477" s="2" t="s">
        <v>605</v>
      </c>
      <c r="K477" s="2" t="s">
        <v>510</v>
      </c>
      <c r="L477" s="3">
        <v>0.47638888888888892</v>
      </c>
      <c r="M477" s="2" t="s">
        <v>803</v>
      </c>
      <c r="N477" s="2" t="s">
        <v>500</v>
      </c>
      <c r="O477" s="2"/>
    </row>
    <row r="478" spans="1:15" x14ac:dyDescent="0.25">
      <c r="A478" s="2" t="s">
        <v>15</v>
      </c>
      <c r="B478" s="2" t="str">
        <f>"FES1162767741"</f>
        <v>FES1162767741</v>
      </c>
      <c r="C478" s="2" t="s">
        <v>411</v>
      </c>
      <c r="D478" s="2">
        <v>1</v>
      </c>
      <c r="E478" s="2" t="str">
        <f>"2170755683"</f>
        <v>2170755683</v>
      </c>
      <c r="F478" s="2" t="s">
        <v>17</v>
      </c>
      <c r="G478" s="2" t="s">
        <v>18</v>
      </c>
      <c r="H478" s="2" t="s">
        <v>19</v>
      </c>
      <c r="I478" s="2" t="s">
        <v>20</v>
      </c>
      <c r="J478" s="2" t="s">
        <v>606</v>
      </c>
      <c r="K478" s="2" t="s">
        <v>510</v>
      </c>
      <c r="L478" s="3">
        <v>0.45208333333333334</v>
      </c>
      <c r="M478" s="2" t="s">
        <v>676</v>
      </c>
      <c r="N478" s="2" t="s">
        <v>500</v>
      </c>
      <c r="O478" s="2"/>
    </row>
    <row r="479" spans="1:15" x14ac:dyDescent="0.25">
      <c r="A479" s="2" t="s">
        <v>15</v>
      </c>
      <c r="B479" s="2" t="str">
        <f>"FES1162768111"</f>
        <v>FES1162768111</v>
      </c>
      <c r="C479" s="2" t="s">
        <v>411</v>
      </c>
      <c r="D479" s="2">
        <v>1</v>
      </c>
      <c r="E479" s="2" t="str">
        <f>"2170753734"</f>
        <v>2170753734</v>
      </c>
      <c r="F479" s="2" t="s">
        <v>17</v>
      </c>
      <c r="G479" s="2" t="s">
        <v>18</v>
      </c>
      <c r="H479" s="2" t="s">
        <v>18</v>
      </c>
      <c r="I479" s="2" t="s">
        <v>63</v>
      </c>
      <c r="J479" s="2" t="s">
        <v>607</v>
      </c>
      <c r="K479" s="2" t="s">
        <v>698</v>
      </c>
      <c r="L479" s="3">
        <v>0.39583333333333331</v>
      </c>
      <c r="M479" s="2" t="s">
        <v>328</v>
      </c>
      <c r="N479" s="2" t="s">
        <v>500</v>
      </c>
      <c r="O479" s="2"/>
    </row>
    <row r="480" spans="1:15" x14ac:dyDescent="0.25">
      <c r="A480" s="2" t="s">
        <v>15</v>
      </c>
      <c r="B480" s="2" t="str">
        <f>"FES1162768127"</f>
        <v>FES1162768127</v>
      </c>
      <c r="C480" s="2" t="s">
        <v>411</v>
      </c>
      <c r="D480" s="2">
        <v>1</v>
      </c>
      <c r="E480" s="2" t="str">
        <f>"2170756014"</f>
        <v>2170756014</v>
      </c>
      <c r="F480" s="2" t="s">
        <v>17</v>
      </c>
      <c r="G480" s="2" t="s">
        <v>18</v>
      </c>
      <c r="H480" s="2" t="s">
        <v>25</v>
      </c>
      <c r="I480" s="2" t="s">
        <v>26</v>
      </c>
      <c r="J480" s="2" t="s">
        <v>608</v>
      </c>
      <c r="K480" s="2" t="s">
        <v>698</v>
      </c>
      <c r="L480" s="3">
        <v>0.59375</v>
      </c>
      <c r="M480" s="2" t="s">
        <v>502</v>
      </c>
      <c r="N480" s="2" t="s">
        <v>500</v>
      </c>
      <c r="O480" s="2"/>
    </row>
    <row r="481" spans="1:15" x14ac:dyDescent="0.25">
      <c r="A481" s="2" t="s">
        <v>15</v>
      </c>
      <c r="B481" s="2" t="str">
        <f>"FES1162768110"</f>
        <v>FES1162768110</v>
      </c>
      <c r="C481" s="2" t="s">
        <v>411</v>
      </c>
      <c r="D481" s="2">
        <v>1</v>
      </c>
      <c r="E481" s="2" t="str">
        <f>"2170753628"</f>
        <v>2170753628</v>
      </c>
      <c r="F481" s="2" t="s">
        <v>17</v>
      </c>
      <c r="G481" s="2" t="s">
        <v>18</v>
      </c>
      <c r="H481" s="2" t="s">
        <v>25</v>
      </c>
      <c r="I481" s="2" t="s">
        <v>26</v>
      </c>
      <c r="J481" s="2" t="s">
        <v>75</v>
      </c>
      <c r="K481" s="2" t="s">
        <v>510</v>
      </c>
      <c r="L481" s="3">
        <v>0.36041666666666666</v>
      </c>
      <c r="M481" s="2" t="s">
        <v>677</v>
      </c>
      <c r="N481" s="2" t="s">
        <v>500</v>
      </c>
      <c r="O481" s="2"/>
    </row>
    <row r="482" spans="1:15" x14ac:dyDescent="0.25">
      <c r="A482" s="2" t="s">
        <v>15</v>
      </c>
      <c r="B482" s="2" t="str">
        <f>"FES1162768012"</f>
        <v>FES1162768012</v>
      </c>
      <c r="C482" s="2" t="s">
        <v>411</v>
      </c>
      <c r="D482" s="2">
        <v>1</v>
      </c>
      <c r="E482" s="2" t="str">
        <f>"2170751337"</f>
        <v>2170751337</v>
      </c>
      <c r="F482" s="2" t="s">
        <v>17</v>
      </c>
      <c r="G482" s="2" t="s">
        <v>18</v>
      </c>
      <c r="H482" s="2" t="s">
        <v>25</v>
      </c>
      <c r="I482" s="2" t="s">
        <v>345</v>
      </c>
      <c r="J482" s="2" t="s">
        <v>447</v>
      </c>
      <c r="K482" s="2" t="s">
        <v>698</v>
      </c>
      <c r="L482" s="3">
        <v>0.34652777777777777</v>
      </c>
      <c r="M482" s="2" t="s">
        <v>804</v>
      </c>
      <c r="N482" s="2" t="s">
        <v>500</v>
      </c>
      <c r="O482" s="2"/>
    </row>
    <row r="483" spans="1:15" x14ac:dyDescent="0.25">
      <c r="A483" s="2" t="s">
        <v>15</v>
      </c>
      <c r="B483" s="2" t="str">
        <f>"FES1162767862"</f>
        <v>FES1162767862</v>
      </c>
      <c r="C483" s="2" t="s">
        <v>411</v>
      </c>
      <c r="D483" s="2">
        <v>1</v>
      </c>
      <c r="E483" s="2" t="str">
        <f>"2170751290"</f>
        <v>2170751290</v>
      </c>
      <c r="F483" s="2" t="s">
        <v>17</v>
      </c>
      <c r="G483" s="2" t="s">
        <v>18</v>
      </c>
      <c r="H483" s="2" t="s">
        <v>18</v>
      </c>
      <c r="I483" s="2" t="s">
        <v>46</v>
      </c>
      <c r="J483" s="2" t="s">
        <v>59</v>
      </c>
      <c r="K483" s="2" t="s">
        <v>510</v>
      </c>
      <c r="L483" s="3">
        <v>0.3298611111111111</v>
      </c>
      <c r="M483" s="2" t="s">
        <v>678</v>
      </c>
      <c r="N483" s="2" t="s">
        <v>500</v>
      </c>
      <c r="O483" s="2"/>
    </row>
    <row r="484" spans="1:15" x14ac:dyDescent="0.25">
      <c r="A484" s="2" t="s">
        <v>15</v>
      </c>
      <c r="B484" s="2" t="str">
        <f>"FES1162767872"</f>
        <v>FES1162767872</v>
      </c>
      <c r="C484" s="2" t="s">
        <v>411</v>
      </c>
      <c r="D484" s="2">
        <v>1</v>
      </c>
      <c r="E484" s="2" t="str">
        <f>"2170755842"</f>
        <v>2170755842</v>
      </c>
      <c r="F484" s="2" t="s">
        <v>17</v>
      </c>
      <c r="G484" s="2" t="s">
        <v>18</v>
      </c>
      <c r="H484" s="2" t="s">
        <v>18</v>
      </c>
      <c r="I484" s="2" t="s">
        <v>46</v>
      </c>
      <c r="J484" s="2" t="s">
        <v>59</v>
      </c>
      <c r="K484" s="2" t="s">
        <v>510</v>
      </c>
      <c r="L484" s="3">
        <v>0.33194444444444443</v>
      </c>
      <c r="M484" s="2" t="s">
        <v>678</v>
      </c>
      <c r="N484" s="2" t="s">
        <v>500</v>
      </c>
      <c r="O484" s="2"/>
    </row>
    <row r="485" spans="1:15" x14ac:dyDescent="0.25">
      <c r="A485" s="2" t="s">
        <v>15</v>
      </c>
      <c r="B485" s="2" t="str">
        <f>"FES1162767864"</f>
        <v>FES1162767864</v>
      </c>
      <c r="C485" s="2" t="s">
        <v>411</v>
      </c>
      <c r="D485" s="2">
        <v>1</v>
      </c>
      <c r="E485" s="2" t="str">
        <f>"2170751293"</f>
        <v>2170751293</v>
      </c>
      <c r="F485" s="2" t="s">
        <v>17</v>
      </c>
      <c r="G485" s="2" t="s">
        <v>18</v>
      </c>
      <c r="H485" s="2" t="s">
        <v>18</v>
      </c>
      <c r="I485" s="2" t="s">
        <v>46</v>
      </c>
      <c r="J485" s="2" t="s">
        <v>59</v>
      </c>
      <c r="K485" s="2" t="s">
        <v>510</v>
      </c>
      <c r="L485" s="3">
        <v>0.33055555555555555</v>
      </c>
      <c r="M485" s="2" t="s">
        <v>678</v>
      </c>
      <c r="N485" s="2" t="s">
        <v>500</v>
      </c>
      <c r="O485" s="2"/>
    </row>
    <row r="486" spans="1:15" x14ac:dyDescent="0.25">
      <c r="A486" s="2" t="s">
        <v>15</v>
      </c>
      <c r="B486" s="2" t="str">
        <f>"FES1162767863"</f>
        <v>FES1162767863</v>
      </c>
      <c r="C486" s="2" t="s">
        <v>411</v>
      </c>
      <c r="D486" s="2">
        <v>1</v>
      </c>
      <c r="E486" s="2" t="str">
        <f>"2170751292"</f>
        <v>2170751292</v>
      </c>
      <c r="F486" s="2" t="s">
        <v>17</v>
      </c>
      <c r="G486" s="2" t="s">
        <v>18</v>
      </c>
      <c r="H486" s="2" t="s">
        <v>18</v>
      </c>
      <c r="I486" s="2" t="s">
        <v>46</v>
      </c>
      <c r="J486" s="2" t="s">
        <v>59</v>
      </c>
      <c r="K486" s="2" t="s">
        <v>510</v>
      </c>
      <c r="L486" s="3">
        <v>0.3298611111111111</v>
      </c>
      <c r="M486" s="2" t="s">
        <v>678</v>
      </c>
      <c r="N486" s="2" t="s">
        <v>500</v>
      </c>
      <c r="O486" s="2"/>
    </row>
    <row r="487" spans="1:15" x14ac:dyDescent="0.25">
      <c r="A487" s="2" t="s">
        <v>15</v>
      </c>
      <c r="B487" s="2" t="str">
        <f>"FES1162767996"</f>
        <v>FES1162767996</v>
      </c>
      <c r="C487" s="2" t="s">
        <v>411</v>
      </c>
      <c r="D487" s="2">
        <v>1</v>
      </c>
      <c r="E487" s="2" t="str">
        <f>"2170755333"</f>
        <v>2170755333</v>
      </c>
      <c r="F487" s="2" t="s">
        <v>17</v>
      </c>
      <c r="G487" s="2" t="s">
        <v>18</v>
      </c>
      <c r="H487" s="2" t="s">
        <v>18</v>
      </c>
      <c r="I487" s="2" t="s">
        <v>63</v>
      </c>
      <c r="J487" s="2" t="s">
        <v>609</v>
      </c>
      <c r="K487" s="2" t="s">
        <v>510</v>
      </c>
      <c r="L487" s="3">
        <v>0.41250000000000003</v>
      </c>
      <c r="M487" s="2" t="s">
        <v>679</v>
      </c>
      <c r="N487" s="2" t="s">
        <v>500</v>
      </c>
      <c r="O487" s="2"/>
    </row>
    <row r="488" spans="1:15" x14ac:dyDescent="0.25">
      <c r="A488" s="2" t="s">
        <v>15</v>
      </c>
      <c r="B488" s="2" t="str">
        <f>"FES1162767973"</f>
        <v>FES1162767973</v>
      </c>
      <c r="C488" s="2" t="s">
        <v>411</v>
      </c>
      <c r="D488" s="2">
        <v>1</v>
      </c>
      <c r="E488" s="2" t="str">
        <f>"2170755914"</f>
        <v>2170755914</v>
      </c>
      <c r="F488" s="2" t="s">
        <v>17</v>
      </c>
      <c r="G488" s="2" t="s">
        <v>18</v>
      </c>
      <c r="H488" s="2" t="s">
        <v>18</v>
      </c>
      <c r="I488" s="2" t="s">
        <v>329</v>
      </c>
      <c r="J488" s="2" t="s">
        <v>457</v>
      </c>
      <c r="K488" s="2" t="s">
        <v>510</v>
      </c>
      <c r="L488" s="3">
        <v>0.50347222222222221</v>
      </c>
      <c r="M488" s="2" t="s">
        <v>680</v>
      </c>
      <c r="N488" s="2" t="s">
        <v>500</v>
      </c>
      <c r="O488" s="2"/>
    </row>
    <row r="489" spans="1:15" x14ac:dyDescent="0.25">
      <c r="A489" s="2" t="s">
        <v>15</v>
      </c>
      <c r="B489" s="2" t="str">
        <f>"FES1162768041"</f>
        <v>FES1162768041</v>
      </c>
      <c r="C489" s="2" t="s">
        <v>411</v>
      </c>
      <c r="D489" s="2">
        <v>1</v>
      </c>
      <c r="E489" s="2" t="str">
        <f>"2170754776"</f>
        <v>2170754776</v>
      </c>
      <c r="F489" s="2" t="s">
        <v>17</v>
      </c>
      <c r="G489" s="2" t="s">
        <v>18</v>
      </c>
      <c r="H489" s="2" t="s">
        <v>18</v>
      </c>
      <c r="I489" s="2" t="s">
        <v>63</v>
      </c>
      <c r="J489" s="2" t="s">
        <v>610</v>
      </c>
      <c r="K489" s="2" t="s">
        <v>510</v>
      </c>
      <c r="L489" s="3">
        <v>0.32222222222222224</v>
      </c>
      <c r="M489" s="2" t="s">
        <v>611</v>
      </c>
      <c r="N489" s="2" t="s">
        <v>500</v>
      </c>
      <c r="O489" s="2"/>
    </row>
    <row r="490" spans="1:15" x14ac:dyDescent="0.25">
      <c r="A490" s="2" t="s">
        <v>15</v>
      </c>
      <c r="B490" s="2" t="str">
        <f>"FES1162768084"</f>
        <v>FES1162768084</v>
      </c>
      <c r="C490" s="2" t="s">
        <v>411</v>
      </c>
      <c r="D490" s="2">
        <v>1</v>
      </c>
      <c r="E490" s="2" t="str">
        <f>"2170755996"</f>
        <v>2170755996</v>
      </c>
      <c r="F490" s="2" t="s">
        <v>17</v>
      </c>
      <c r="G490" s="2" t="s">
        <v>18</v>
      </c>
      <c r="H490" s="2" t="s">
        <v>18</v>
      </c>
      <c r="I490" s="2" t="s">
        <v>50</v>
      </c>
      <c r="J490" s="2" t="s">
        <v>285</v>
      </c>
      <c r="K490" s="2" t="s">
        <v>510</v>
      </c>
      <c r="L490" s="3">
        <v>0.43402777777777773</v>
      </c>
      <c r="M490" s="2" t="s">
        <v>681</v>
      </c>
      <c r="N490" s="2" t="s">
        <v>500</v>
      </c>
      <c r="O490" s="2"/>
    </row>
    <row r="491" spans="1:15" x14ac:dyDescent="0.25">
      <c r="A491" s="2" t="s">
        <v>15</v>
      </c>
      <c r="B491" s="2" t="str">
        <f>"FES1162768044"</f>
        <v>FES1162768044</v>
      </c>
      <c r="C491" s="2" t="s">
        <v>411</v>
      </c>
      <c r="D491" s="2">
        <v>1</v>
      </c>
      <c r="E491" s="2" t="str">
        <f>"2170754981"</f>
        <v>2170754981</v>
      </c>
      <c r="F491" s="2" t="s">
        <v>17</v>
      </c>
      <c r="G491" s="2" t="s">
        <v>18</v>
      </c>
      <c r="H491" s="2" t="s">
        <v>19</v>
      </c>
      <c r="I491" s="2" t="s">
        <v>20</v>
      </c>
      <c r="J491" s="2" t="s">
        <v>21</v>
      </c>
      <c r="K491" s="2" t="s">
        <v>510</v>
      </c>
      <c r="L491" s="3">
        <v>0.38194444444444442</v>
      </c>
      <c r="M491" s="2" t="s">
        <v>682</v>
      </c>
      <c r="N491" s="2" t="s">
        <v>500</v>
      </c>
      <c r="O491" s="2"/>
    </row>
    <row r="492" spans="1:15" x14ac:dyDescent="0.25">
      <c r="A492" s="2" t="s">
        <v>15</v>
      </c>
      <c r="B492" s="2" t="str">
        <f>"FES1162768074"</f>
        <v>FES1162768074</v>
      </c>
      <c r="C492" s="2" t="s">
        <v>411</v>
      </c>
      <c r="D492" s="2">
        <v>1</v>
      </c>
      <c r="E492" s="2" t="str">
        <f>"2170755980"</f>
        <v>2170755980</v>
      </c>
      <c r="F492" s="2" t="s">
        <v>17</v>
      </c>
      <c r="G492" s="2" t="s">
        <v>18</v>
      </c>
      <c r="H492" s="2" t="s">
        <v>19</v>
      </c>
      <c r="I492" s="2" t="s">
        <v>149</v>
      </c>
      <c r="J492" s="2" t="s">
        <v>150</v>
      </c>
      <c r="K492" s="2" t="s">
        <v>698</v>
      </c>
      <c r="L492" s="3">
        <v>0.62291666666666667</v>
      </c>
      <c r="M492" s="2" t="s">
        <v>805</v>
      </c>
      <c r="N492" s="2" t="s">
        <v>500</v>
      </c>
      <c r="O492" s="2"/>
    </row>
    <row r="493" spans="1:15" x14ac:dyDescent="0.25">
      <c r="A493" s="2" t="s">
        <v>15</v>
      </c>
      <c r="B493" s="2" t="str">
        <f>"FES1162768072"</f>
        <v>FES1162768072</v>
      </c>
      <c r="C493" s="2" t="s">
        <v>411</v>
      </c>
      <c r="D493" s="2">
        <v>1</v>
      </c>
      <c r="E493" s="2" t="str">
        <f>"2170755977"</f>
        <v>2170755977</v>
      </c>
      <c r="F493" s="2" t="s">
        <v>17</v>
      </c>
      <c r="G493" s="2" t="s">
        <v>18</v>
      </c>
      <c r="H493" s="2" t="s">
        <v>88</v>
      </c>
      <c r="I493" s="2" t="s">
        <v>612</v>
      </c>
      <c r="J493" s="2" t="s">
        <v>613</v>
      </c>
      <c r="K493" s="2" t="s">
        <v>510</v>
      </c>
      <c r="L493" s="3">
        <v>0.69791666666666663</v>
      </c>
      <c r="M493" s="2" t="s">
        <v>683</v>
      </c>
      <c r="N493" s="2" t="s">
        <v>500</v>
      </c>
      <c r="O493" s="2"/>
    </row>
    <row r="494" spans="1:15" x14ac:dyDescent="0.25">
      <c r="A494" s="2" t="s">
        <v>15</v>
      </c>
      <c r="B494" s="2" t="str">
        <f>"FES1162768039"</f>
        <v>FES1162768039</v>
      </c>
      <c r="C494" s="2" t="s">
        <v>411</v>
      </c>
      <c r="D494" s="2">
        <v>1</v>
      </c>
      <c r="E494" s="2" t="str">
        <f>"2170754661"</f>
        <v>2170754661</v>
      </c>
      <c r="F494" s="2" t="s">
        <v>17</v>
      </c>
      <c r="G494" s="2" t="s">
        <v>18</v>
      </c>
      <c r="H494" s="2" t="s">
        <v>88</v>
      </c>
      <c r="I494" s="2" t="s">
        <v>109</v>
      </c>
      <c r="J494" s="2" t="s">
        <v>614</v>
      </c>
      <c r="K494" s="2" t="s">
        <v>802</v>
      </c>
      <c r="L494" s="3">
        <v>0.52569444444444446</v>
      </c>
      <c r="M494" s="2" t="s">
        <v>919</v>
      </c>
      <c r="N494" s="2" t="s">
        <v>500</v>
      </c>
      <c r="O494" s="2"/>
    </row>
    <row r="495" spans="1:15" x14ac:dyDescent="0.25">
      <c r="A495" s="2" t="s">
        <v>15</v>
      </c>
      <c r="B495" s="2" t="str">
        <f>"FES1162768042"</f>
        <v>FES1162768042</v>
      </c>
      <c r="C495" s="2" t="s">
        <v>411</v>
      </c>
      <c r="D495" s="2">
        <v>1</v>
      </c>
      <c r="E495" s="2" t="str">
        <f>"2170754783"</f>
        <v>2170754783</v>
      </c>
      <c r="F495" s="2" t="s">
        <v>17</v>
      </c>
      <c r="G495" s="2" t="s">
        <v>18</v>
      </c>
      <c r="H495" s="2" t="s">
        <v>25</v>
      </c>
      <c r="I495" s="2" t="s">
        <v>26</v>
      </c>
      <c r="J495" s="2" t="s">
        <v>27</v>
      </c>
      <c r="K495" s="2" t="s">
        <v>510</v>
      </c>
      <c r="L495" s="3">
        <v>0.41736111111111113</v>
      </c>
      <c r="M495" s="2" t="s">
        <v>521</v>
      </c>
      <c r="N495" s="2" t="s">
        <v>500</v>
      </c>
      <c r="O495" s="2"/>
    </row>
    <row r="496" spans="1:15" x14ac:dyDescent="0.25">
      <c r="A496" s="2" t="s">
        <v>15</v>
      </c>
      <c r="B496" s="2" t="str">
        <f>"FES1162768040"</f>
        <v>FES1162768040</v>
      </c>
      <c r="C496" s="2" t="s">
        <v>411</v>
      </c>
      <c r="D496" s="2">
        <v>1</v>
      </c>
      <c r="E496" s="2" t="str">
        <f>"2170754732"</f>
        <v>2170754732</v>
      </c>
      <c r="F496" s="2" t="s">
        <v>17</v>
      </c>
      <c r="G496" s="2" t="s">
        <v>18</v>
      </c>
      <c r="H496" s="2" t="s">
        <v>19</v>
      </c>
      <c r="I496" s="2" t="s">
        <v>130</v>
      </c>
      <c r="J496" s="2" t="s">
        <v>131</v>
      </c>
      <c r="K496" s="2" t="s">
        <v>510</v>
      </c>
      <c r="L496" s="3">
        <v>0.42499999999999999</v>
      </c>
      <c r="M496" s="2" t="s">
        <v>600</v>
      </c>
      <c r="N496" s="2" t="s">
        <v>500</v>
      </c>
      <c r="O496" s="2"/>
    </row>
    <row r="497" spans="1:15" x14ac:dyDescent="0.25">
      <c r="A497" s="2" t="s">
        <v>15</v>
      </c>
      <c r="B497" s="2" t="str">
        <f>"FES1162768059"</f>
        <v>FES1162768059</v>
      </c>
      <c r="C497" s="2" t="s">
        <v>411</v>
      </c>
      <c r="D497" s="2">
        <v>1</v>
      </c>
      <c r="E497" s="2" t="str">
        <f>"2170755706"</f>
        <v>2170755706</v>
      </c>
      <c r="F497" s="2" t="s">
        <v>17</v>
      </c>
      <c r="G497" s="2" t="s">
        <v>18</v>
      </c>
      <c r="H497" s="2" t="s">
        <v>25</v>
      </c>
      <c r="I497" s="2" t="s">
        <v>345</v>
      </c>
      <c r="J497" s="2" t="s">
        <v>346</v>
      </c>
      <c r="K497" s="2" t="s">
        <v>698</v>
      </c>
      <c r="L497" s="3">
        <v>0.33819444444444446</v>
      </c>
      <c r="M497" s="2" t="s">
        <v>544</v>
      </c>
      <c r="N497" s="2" t="s">
        <v>500</v>
      </c>
      <c r="O497" s="2"/>
    </row>
    <row r="498" spans="1:15" x14ac:dyDescent="0.25">
      <c r="A498" s="2" t="s">
        <v>15</v>
      </c>
      <c r="B498" s="2" t="str">
        <f>"FES1162768034"</f>
        <v>FES1162768034</v>
      </c>
      <c r="C498" s="2" t="s">
        <v>411</v>
      </c>
      <c r="D498" s="2">
        <v>1</v>
      </c>
      <c r="E498" s="2" t="str">
        <f>"2170753934"</f>
        <v>2170753934</v>
      </c>
      <c r="F498" s="2" t="s">
        <v>17</v>
      </c>
      <c r="G498" s="2" t="s">
        <v>18</v>
      </c>
      <c r="H498" s="2" t="s">
        <v>25</v>
      </c>
      <c r="I498" s="2" t="s">
        <v>125</v>
      </c>
      <c r="J498" s="2" t="s">
        <v>126</v>
      </c>
      <c r="K498" s="2" t="s">
        <v>510</v>
      </c>
      <c r="L498" s="3">
        <v>0.40972222222222227</v>
      </c>
      <c r="M498" s="2" t="s">
        <v>388</v>
      </c>
      <c r="N498" s="2" t="s">
        <v>500</v>
      </c>
      <c r="O498" s="2"/>
    </row>
    <row r="499" spans="1:15" x14ac:dyDescent="0.25">
      <c r="A499" s="2" t="s">
        <v>15</v>
      </c>
      <c r="B499" s="2" t="str">
        <f>"FES1162768037"</f>
        <v>FES1162768037</v>
      </c>
      <c r="C499" s="2" t="s">
        <v>411</v>
      </c>
      <c r="D499" s="2">
        <v>1</v>
      </c>
      <c r="E499" s="2" t="str">
        <f>"2170754575"</f>
        <v>2170754575</v>
      </c>
      <c r="F499" s="2" t="s">
        <v>17</v>
      </c>
      <c r="G499" s="2" t="s">
        <v>18</v>
      </c>
      <c r="H499" s="2" t="s">
        <v>25</v>
      </c>
      <c r="I499" s="2" t="s">
        <v>26</v>
      </c>
      <c r="J499" s="2" t="s">
        <v>44</v>
      </c>
      <c r="K499" s="2" t="s">
        <v>510</v>
      </c>
      <c r="L499" s="3">
        <v>0.38472222222222219</v>
      </c>
      <c r="M499" s="2" t="s">
        <v>181</v>
      </c>
      <c r="N499" s="2" t="s">
        <v>500</v>
      </c>
      <c r="O499" s="2"/>
    </row>
    <row r="500" spans="1:15" x14ac:dyDescent="0.25">
      <c r="A500" s="2" t="s">
        <v>15</v>
      </c>
      <c r="B500" s="2" t="str">
        <f>"FES1162768076"</f>
        <v>FES1162768076</v>
      </c>
      <c r="C500" s="2" t="s">
        <v>411</v>
      </c>
      <c r="D500" s="2">
        <v>1</v>
      </c>
      <c r="E500" s="2" t="str">
        <f>"2170755983"</f>
        <v>2170755983</v>
      </c>
      <c r="F500" s="2" t="s">
        <v>17</v>
      </c>
      <c r="G500" s="2" t="s">
        <v>18</v>
      </c>
      <c r="H500" s="2" t="s">
        <v>19</v>
      </c>
      <c r="I500" s="2" t="s">
        <v>149</v>
      </c>
      <c r="J500" s="2" t="s">
        <v>150</v>
      </c>
      <c r="K500" s="2" t="s">
        <v>698</v>
      </c>
      <c r="L500" s="3">
        <v>0.62291666666666667</v>
      </c>
      <c r="M500" s="2" t="s">
        <v>805</v>
      </c>
      <c r="N500" s="2" t="s">
        <v>500</v>
      </c>
      <c r="O500" s="2"/>
    </row>
    <row r="501" spans="1:15" x14ac:dyDescent="0.25">
      <c r="A501" s="2" t="s">
        <v>15</v>
      </c>
      <c r="B501" s="2" t="str">
        <f>"FES1162768046"</f>
        <v>FES1162768046</v>
      </c>
      <c r="C501" s="2" t="s">
        <v>411</v>
      </c>
      <c r="D501" s="2">
        <v>1</v>
      </c>
      <c r="E501" s="2" t="str">
        <f>"2170755129"</f>
        <v>2170755129</v>
      </c>
      <c r="F501" s="2" t="s">
        <v>17</v>
      </c>
      <c r="G501" s="2" t="s">
        <v>18</v>
      </c>
      <c r="H501" s="2" t="s">
        <v>18</v>
      </c>
      <c r="I501" s="2" t="s">
        <v>50</v>
      </c>
      <c r="J501" s="2" t="s">
        <v>285</v>
      </c>
      <c r="K501" s="2" t="s">
        <v>510</v>
      </c>
      <c r="L501" s="3">
        <v>0.43402777777777773</v>
      </c>
      <c r="M501" s="2" t="s">
        <v>681</v>
      </c>
      <c r="N501" s="2" t="s">
        <v>500</v>
      </c>
      <c r="O501" s="2"/>
    </row>
    <row r="502" spans="1:15" x14ac:dyDescent="0.25">
      <c r="A502" s="2" t="s">
        <v>15</v>
      </c>
      <c r="B502" s="2" t="str">
        <f>"FES1162767900"</f>
        <v>FES1162767900</v>
      </c>
      <c r="C502" s="2" t="s">
        <v>411</v>
      </c>
      <c r="D502" s="2">
        <v>1</v>
      </c>
      <c r="E502" s="2" t="str">
        <f>"2170755877"</f>
        <v>2170755877</v>
      </c>
      <c r="F502" s="2" t="s">
        <v>17</v>
      </c>
      <c r="G502" s="2" t="s">
        <v>18</v>
      </c>
      <c r="H502" s="2" t="s">
        <v>88</v>
      </c>
      <c r="I502" s="2" t="s">
        <v>109</v>
      </c>
      <c r="J502" s="2" t="s">
        <v>615</v>
      </c>
      <c r="K502" s="2" t="s">
        <v>510</v>
      </c>
      <c r="L502" s="3">
        <v>0.3743055555555555</v>
      </c>
      <c r="M502" s="2" t="s">
        <v>241</v>
      </c>
      <c r="N502" s="2" t="s">
        <v>500</v>
      </c>
      <c r="O502" s="2"/>
    </row>
    <row r="503" spans="1:15" x14ac:dyDescent="0.25">
      <c r="A503" s="2" t="s">
        <v>15</v>
      </c>
      <c r="B503" s="2" t="str">
        <f>"FES1162768145"</f>
        <v>FES1162768145</v>
      </c>
      <c r="C503" s="2" t="s">
        <v>411</v>
      </c>
      <c r="D503" s="2">
        <v>1</v>
      </c>
      <c r="E503" s="2" t="str">
        <f>"2170755945"</f>
        <v>2170755945</v>
      </c>
      <c r="F503" s="2" t="s">
        <v>17</v>
      </c>
      <c r="G503" s="2" t="s">
        <v>18</v>
      </c>
      <c r="H503" s="2" t="s">
        <v>18</v>
      </c>
      <c r="I503" s="2" t="s">
        <v>63</v>
      </c>
      <c r="J503" s="2" t="s">
        <v>616</v>
      </c>
      <c r="K503" s="2" t="s">
        <v>510</v>
      </c>
      <c r="L503" s="3">
        <v>0.3833333333333333</v>
      </c>
      <c r="M503" s="2" t="s">
        <v>684</v>
      </c>
      <c r="N503" s="2" t="s">
        <v>500</v>
      </c>
      <c r="O503" s="2"/>
    </row>
    <row r="504" spans="1:15" x14ac:dyDescent="0.25">
      <c r="A504" s="2" t="s">
        <v>15</v>
      </c>
      <c r="B504" s="2" t="str">
        <f>"FES1162768038"</f>
        <v>FES1162768038</v>
      </c>
      <c r="C504" s="2" t="s">
        <v>411</v>
      </c>
      <c r="D504" s="2">
        <v>1</v>
      </c>
      <c r="E504" s="2" t="str">
        <f>"2170754599"</f>
        <v>2170754599</v>
      </c>
      <c r="F504" s="2" t="s">
        <v>17</v>
      </c>
      <c r="G504" s="2" t="s">
        <v>18</v>
      </c>
      <c r="H504" s="2" t="s">
        <v>19</v>
      </c>
      <c r="I504" s="2" t="s">
        <v>149</v>
      </c>
      <c r="J504" s="2" t="s">
        <v>150</v>
      </c>
      <c r="K504" s="2" t="s">
        <v>698</v>
      </c>
      <c r="L504" s="3">
        <v>0.62222222222222223</v>
      </c>
      <c r="M504" s="2" t="s">
        <v>805</v>
      </c>
      <c r="N504" s="2" t="s">
        <v>500</v>
      </c>
      <c r="O504" s="2"/>
    </row>
    <row r="505" spans="1:15" x14ac:dyDescent="0.25">
      <c r="A505" s="2" t="s">
        <v>15</v>
      </c>
      <c r="B505" s="2" t="str">
        <f>"FES1162768063"</f>
        <v>FES1162768063</v>
      </c>
      <c r="C505" s="2" t="s">
        <v>411</v>
      </c>
      <c r="D505" s="2">
        <v>1</v>
      </c>
      <c r="E505" s="2" t="str">
        <f>"217075889"</f>
        <v>217075889</v>
      </c>
      <c r="F505" s="2" t="s">
        <v>17</v>
      </c>
      <c r="G505" s="2" t="s">
        <v>18</v>
      </c>
      <c r="H505" s="2" t="s">
        <v>617</v>
      </c>
      <c r="I505" s="2" t="s">
        <v>618</v>
      </c>
      <c r="J505" s="2" t="s">
        <v>619</v>
      </c>
      <c r="K505" s="2" t="s">
        <v>510</v>
      </c>
      <c r="L505" s="3">
        <v>0.4548611111111111</v>
      </c>
      <c r="M505" s="2" t="s">
        <v>685</v>
      </c>
      <c r="N505" s="2" t="s">
        <v>500</v>
      </c>
      <c r="O505" s="2"/>
    </row>
    <row r="506" spans="1:15" x14ac:dyDescent="0.25">
      <c r="A506" s="2" t="s">
        <v>15</v>
      </c>
      <c r="B506" s="2" t="str">
        <f>"FES1162768113"</f>
        <v>FES1162768113</v>
      </c>
      <c r="C506" s="2" t="s">
        <v>411</v>
      </c>
      <c r="D506" s="2">
        <v>1</v>
      </c>
      <c r="E506" s="2" t="str">
        <f>"2170755984"</f>
        <v>2170755984</v>
      </c>
      <c r="F506" s="2" t="s">
        <v>17</v>
      </c>
      <c r="G506" s="2" t="s">
        <v>18</v>
      </c>
      <c r="H506" s="2" t="s">
        <v>18</v>
      </c>
      <c r="I506" s="2" t="s">
        <v>63</v>
      </c>
      <c r="J506" s="2" t="s">
        <v>620</v>
      </c>
      <c r="K506" s="2" t="s">
        <v>510</v>
      </c>
      <c r="L506" s="3">
        <v>0.39930555555555558</v>
      </c>
      <c r="M506" s="2" t="s">
        <v>686</v>
      </c>
      <c r="N506" s="2" t="s">
        <v>500</v>
      </c>
      <c r="O506" s="2"/>
    </row>
    <row r="507" spans="1:15" x14ac:dyDescent="0.25">
      <c r="A507" s="2" t="s">
        <v>15</v>
      </c>
      <c r="B507" s="2" t="str">
        <f>"FES1162768101"</f>
        <v>FES1162768101</v>
      </c>
      <c r="C507" s="2" t="s">
        <v>411</v>
      </c>
      <c r="D507" s="2">
        <v>1</v>
      </c>
      <c r="E507" s="2" t="str">
        <f>"2170752624"</f>
        <v>2170752624</v>
      </c>
      <c r="F507" s="2" t="s">
        <v>17</v>
      </c>
      <c r="G507" s="2" t="s">
        <v>18</v>
      </c>
      <c r="H507" s="2" t="s">
        <v>25</v>
      </c>
      <c r="I507" s="2" t="s">
        <v>26</v>
      </c>
      <c r="J507" s="2" t="s">
        <v>621</v>
      </c>
      <c r="K507" s="2" t="s">
        <v>510</v>
      </c>
      <c r="L507" s="3">
        <v>0.41597222222222219</v>
      </c>
      <c r="M507" s="2" t="s">
        <v>687</v>
      </c>
      <c r="N507" s="2" t="s">
        <v>500</v>
      </c>
      <c r="O507" s="2"/>
    </row>
    <row r="508" spans="1:15" x14ac:dyDescent="0.25">
      <c r="A508" s="2" t="s">
        <v>15</v>
      </c>
      <c r="B508" s="2" t="str">
        <f>"FES1162768019"</f>
        <v>FES1162768019</v>
      </c>
      <c r="C508" s="2" t="s">
        <v>411</v>
      </c>
      <c r="D508" s="2">
        <v>1</v>
      </c>
      <c r="E508" s="2" t="str">
        <f>"2170752553"</f>
        <v>2170752553</v>
      </c>
      <c r="F508" s="2" t="s">
        <v>17</v>
      </c>
      <c r="G508" s="2" t="s">
        <v>18</v>
      </c>
      <c r="H508" s="2" t="s">
        <v>25</v>
      </c>
      <c r="I508" s="2" t="s">
        <v>42</v>
      </c>
      <c r="J508" s="2" t="s">
        <v>416</v>
      </c>
      <c r="K508" s="2" t="s">
        <v>510</v>
      </c>
      <c r="L508" s="3">
        <v>0.50347222222222221</v>
      </c>
      <c r="M508" s="2" t="s">
        <v>688</v>
      </c>
      <c r="N508" s="2" t="s">
        <v>500</v>
      </c>
      <c r="O508" s="2"/>
    </row>
    <row r="509" spans="1:15" x14ac:dyDescent="0.25">
      <c r="A509" s="2" t="s">
        <v>15</v>
      </c>
      <c r="B509" s="2" t="str">
        <f>"FES1162768124"</f>
        <v>FES1162768124</v>
      </c>
      <c r="C509" s="2" t="s">
        <v>411</v>
      </c>
      <c r="D509" s="2">
        <v>1</v>
      </c>
      <c r="E509" s="2" t="str">
        <f>"2170752265"</f>
        <v>2170752265</v>
      </c>
      <c r="F509" s="2" t="s">
        <v>17</v>
      </c>
      <c r="G509" s="2" t="s">
        <v>18</v>
      </c>
      <c r="H509" s="2" t="s">
        <v>25</v>
      </c>
      <c r="I509" s="2" t="s">
        <v>26</v>
      </c>
      <c r="J509" s="2" t="s">
        <v>474</v>
      </c>
      <c r="K509" s="2" t="s">
        <v>510</v>
      </c>
      <c r="L509" s="3">
        <v>0.41666666666666669</v>
      </c>
      <c r="M509" s="2" t="s">
        <v>689</v>
      </c>
      <c r="N509" s="2" t="s">
        <v>500</v>
      </c>
      <c r="O509" s="2"/>
    </row>
    <row r="510" spans="1:15" x14ac:dyDescent="0.25">
      <c r="A510" s="2" t="s">
        <v>15</v>
      </c>
      <c r="B510" s="2" t="str">
        <f>"FES1162768109"</f>
        <v>FES1162768109</v>
      </c>
      <c r="C510" s="2" t="s">
        <v>411</v>
      </c>
      <c r="D510" s="2">
        <v>1</v>
      </c>
      <c r="E510" s="2" t="str">
        <f>"2170753586"</f>
        <v>2170753586</v>
      </c>
      <c r="F510" s="2" t="s">
        <v>17</v>
      </c>
      <c r="G510" s="2" t="s">
        <v>18</v>
      </c>
      <c r="H510" s="2" t="s">
        <v>25</v>
      </c>
      <c r="I510" s="2" t="s">
        <v>26</v>
      </c>
      <c r="J510" s="2" t="s">
        <v>622</v>
      </c>
      <c r="K510" s="2" t="s">
        <v>510</v>
      </c>
      <c r="L510" s="3">
        <v>0.36874999999999997</v>
      </c>
      <c r="M510" s="2" t="s">
        <v>690</v>
      </c>
      <c r="N510" s="2" t="s">
        <v>500</v>
      </c>
      <c r="O510" s="2"/>
    </row>
    <row r="511" spans="1:15" x14ac:dyDescent="0.25">
      <c r="A511" s="2" t="s">
        <v>15</v>
      </c>
      <c r="B511" s="2" t="str">
        <f>"FES1162768073"</f>
        <v>FES1162768073</v>
      </c>
      <c r="C511" s="2" t="s">
        <v>411</v>
      </c>
      <c r="D511" s="2">
        <v>1</v>
      </c>
      <c r="E511" s="2" t="str">
        <f>"2170755979"</f>
        <v>2170755979</v>
      </c>
      <c r="F511" s="2" t="s">
        <v>17</v>
      </c>
      <c r="G511" s="2" t="s">
        <v>18</v>
      </c>
      <c r="H511" s="2" t="s">
        <v>25</v>
      </c>
      <c r="I511" s="2" t="s">
        <v>26</v>
      </c>
      <c r="J511" s="2" t="s">
        <v>623</v>
      </c>
      <c r="K511" s="2" t="s">
        <v>510</v>
      </c>
      <c r="L511" s="3">
        <v>0.48333333333333334</v>
      </c>
      <c r="M511" s="2" t="s">
        <v>557</v>
      </c>
      <c r="N511" s="2" t="s">
        <v>500</v>
      </c>
      <c r="O511" s="2"/>
    </row>
    <row r="512" spans="1:15" x14ac:dyDescent="0.25">
      <c r="A512" s="5" t="s">
        <v>15</v>
      </c>
      <c r="B512" s="5" t="str">
        <f>"FES1162768100"</f>
        <v>FES1162768100</v>
      </c>
      <c r="C512" s="5" t="s">
        <v>411</v>
      </c>
      <c r="D512" s="5">
        <v>1</v>
      </c>
      <c r="E512" s="5" t="str">
        <f>"2170752498"</f>
        <v>2170752498</v>
      </c>
      <c r="F512" s="5" t="s">
        <v>17</v>
      </c>
      <c r="G512" s="5" t="s">
        <v>18</v>
      </c>
      <c r="H512" s="5" t="s">
        <v>25</v>
      </c>
      <c r="I512" s="5" t="s">
        <v>624</v>
      </c>
      <c r="J512" s="5" t="s">
        <v>625</v>
      </c>
      <c r="K512" s="5" t="s">
        <v>802</v>
      </c>
      <c r="L512" s="9">
        <v>0.41666666666666669</v>
      </c>
      <c r="M512" s="5" t="s">
        <v>1245</v>
      </c>
      <c r="N512" s="5" t="s">
        <v>500</v>
      </c>
      <c r="O512" s="5"/>
    </row>
    <row r="513" spans="1:15" x14ac:dyDescent="0.25">
      <c r="A513" s="2" t="s">
        <v>15</v>
      </c>
      <c r="B513" s="2" t="str">
        <f>"FES1162767998"</f>
        <v>FES1162767998</v>
      </c>
      <c r="C513" s="2" t="s">
        <v>411</v>
      </c>
      <c r="D513" s="2">
        <v>1</v>
      </c>
      <c r="E513" s="2" t="str">
        <f>"2170755770"</f>
        <v>2170755770</v>
      </c>
      <c r="F513" s="2" t="s">
        <v>17</v>
      </c>
      <c r="G513" s="2" t="s">
        <v>18</v>
      </c>
      <c r="H513" s="2" t="s">
        <v>18</v>
      </c>
      <c r="I513" s="2" t="s">
        <v>97</v>
      </c>
      <c r="J513" s="2" t="s">
        <v>98</v>
      </c>
      <c r="K513" s="2" t="s">
        <v>510</v>
      </c>
      <c r="L513" s="3">
        <v>0.38263888888888892</v>
      </c>
      <c r="M513" s="2" t="s">
        <v>691</v>
      </c>
      <c r="N513" s="2" t="s">
        <v>500</v>
      </c>
      <c r="O513" s="2"/>
    </row>
    <row r="514" spans="1:15" x14ac:dyDescent="0.25">
      <c r="A514" s="2" t="s">
        <v>15</v>
      </c>
      <c r="B514" s="2" t="str">
        <f>"FES1162768125"</f>
        <v>FES1162768125</v>
      </c>
      <c r="C514" s="2" t="s">
        <v>411</v>
      </c>
      <c r="D514" s="2">
        <v>1</v>
      </c>
      <c r="E514" s="2" t="str">
        <f>"2170752118"</f>
        <v>2170752118</v>
      </c>
      <c r="F514" s="2" t="s">
        <v>17</v>
      </c>
      <c r="G514" s="2" t="s">
        <v>18</v>
      </c>
      <c r="H514" s="2" t="s">
        <v>33</v>
      </c>
      <c r="I514" s="2" t="s">
        <v>34</v>
      </c>
      <c r="J514" s="2" t="s">
        <v>626</v>
      </c>
      <c r="K514" s="2" t="s">
        <v>510</v>
      </c>
      <c r="L514" s="3">
        <v>0.48680555555555555</v>
      </c>
      <c r="M514" s="2" t="s">
        <v>692</v>
      </c>
      <c r="N514" s="2" t="s">
        <v>500</v>
      </c>
      <c r="O514" s="2"/>
    </row>
    <row r="515" spans="1:15" x14ac:dyDescent="0.25">
      <c r="A515" s="2" t="s">
        <v>15</v>
      </c>
      <c r="B515" s="2" t="str">
        <f>"FES1162768013"</f>
        <v>FES1162768013</v>
      </c>
      <c r="C515" s="2" t="s">
        <v>411</v>
      </c>
      <c r="D515" s="2">
        <v>1</v>
      </c>
      <c r="E515" s="2" t="str">
        <f>"2170741561"</f>
        <v>2170741561</v>
      </c>
      <c r="F515" s="2" t="s">
        <v>17</v>
      </c>
      <c r="G515" s="2" t="s">
        <v>18</v>
      </c>
      <c r="H515" s="2" t="s">
        <v>18</v>
      </c>
      <c r="I515" s="2" t="s">
        <v>46</v>
      </c>
      <c r="J515" s="2" t="s">
        <v>627</v>
      </c>
      <c r="K515" s="2" t="s">
        <v>510</v>
      </c>
      <c r="L515" s="3">
        <v>0.35416666666666669</v>
      </c>
      <c r="M515" s="2" t="s">
        <v>523</v>
      </c>
      <c r="N515" s="2" t="s">
        <v>500</v>
      </c>
      <c r="O515" s="2"/>
    </row>
    <row r="516" spans="1:15" x14ac:dyDescent="0.25">
      <c r="A516" s="2" t="s">
        <v>15</v>
      </c>
      <c r="B516" s="2" t="str">
        <f>"FES1162768099"</f>
        <v>FES1162768099</v>
      </c>
      <c r="C516" s="2" t="s">
        <v>411</v>
      </c>
      <c r="D516" s="2">
        <v>1</v>
      </c>
      <c r="E516" s="2" t="str">
        <f>"2170752477"</f>
        <v>2170752477</v>
      </c>
      <c r="F516" s="2" t="s">
        <v>17</v>
      </c>
      <c r="G516" s="2" t="s">
        <v>18</v>
      </c>
      <c r="H516" s="2" t="s">
        <v>18</v>
      </c>
      <c r="I516" s="2" t="s">
        <v>57</v>
      </c>
      <c r="J516" s="2" t="s">
        <v>92</v>
      </c>
      <c r="K516" s="2" t="s">
        <v>510</v>
      </c>
      <c r="L516" s="3">
        <v>0.29375000000000001</v>
      </c>
      <c r="M516" s="2" t="s">
        <v>693</v>
      </c>
      <c r="N516" s="2" t="s">
        <v>500</v>
      </c>
      <c r="O516" s="2"/>
    </row>
    <row r="517" spans="1:15" x14ac:dyDescent="0.25">
      <c r="A517" s="2" t="s">
        <v>15</v>
      </c>
      <c r="B517" s="2" t="str">
        <f>"FES1162768052"</f>
        <v>FES1162768052</v>
      </c>
      <c r="C517" s="2" t="s">
        <v>411</v>
      </c>
      <c r="D517" s="2">
        <v>1</v>
      </c>
      <c r="E517" s="2" t="str">
        <f>"2170755569"</f>
        <v>2170755569</v>
      </c>
      <c r="F517" s="2" t="s">
        <v>17</v>
      </c>
      <c r="G517" s="2" t="s">
        <v>18</v>
      </c>
      <c r="H517" s="2" t="s">
        <v>18</v>
      </c>
      <c r="I517" s="2" t="s">
        <v>163</v>
      </c>
      <c r="J517" s="2" t="s">
        <v>483</v>
      </c>
      <c r="K517" s="2" t="s">
        <v>510</v>
      </c>
      <c r="L517" s="3">
        <v>0.36736111111111108</v>
      </c>
      <c r="M517" s="2" t="s">
        <v>591</v>
      </c>
      <c r="N517" s="2" t="s">
        <v>500</v>
      </c>
      <c r="O517" s="2"/>
    </row>
    <row r="518" spans="1:15" x14ac:dyDescent="0.25">
      <c r="A518" s="2" t="s">
        <v>15</v>
      </c>
      <c r="B518" s="2" t="str">
        <f>"FES1162768094"</f>
        <v>FES1162768094</v>
      </c>
      <c r="C518" s="2" t="s">
        <v>411</v>
      </c>
      <c r="D518" s="2">
        <v>1</v>
      </c>
      <c r="E518" s="2" t="str">
        <f>"2170752022"</f>
        <v>2170752022</v>
      </c>
      <c r="F518" s="2" t="s">
        <v>17</v>
      </c>
      <c r="G518" s="2" t="s">
        <v>18</v>
      </c>
      <c r="H518" s="2" t="s">
        <v>88</v>
      </c>
      <c r="I518" s="2" t="s">
        <v>109</v>
      </c>
      <c r="J518" s="2" t="s">
        <v>395</v>
      </c>
      <c r="K518" s="2" t="s">
        <v>510</v>
      </c>
      <c r="L518" s="3">
        <v>0.4236111111111111</v>
      </c>
      <c r="M518" s="2" t="s">
        <v>694</v>
      </c>
      <c r="N518" s="2" t="s">
        <v>500</v>
      </c>
      <c r="O518" s="2"/>
    </row>
    <row r="519" spans="1:15" x14ac:dyDescent="0.25">
      <c r="A519" s="2" t="s">
        <v>15</v>
      </c>
      <c r="B519" s="2" t="str">
        <f>"FES1162768064"</f>
        <v>FES1162768064</v>
      </c>
      <c r="C519" s="2" t="s">
        <v>411</v>
      </c>
      <c r="D519" s="2">
        <v>1</v>
      </c>
      <c r="E519" s="2" t="str">
        <f>"2170755921"</f>
        <v>2170755921</v>
      </c>
      <c r="F519" s="2" t="s">
        <v>17</v>
      </c>
      <c r="G519" s="2" t="s">
        <v>18</v>
      </c>
      <c r="H519" s="2" t="s">
        <v>25</v>
      </c>
      <c r="I519" s="2" t="s">
        <v>26</v>
      </c>
      <c r="J519" s="2" t="s">
        <v>628</v>
      </c>
      <c r="K519" s="2" t="s">
        <v>510</v>
      </c>
      <c r="L519" s="3">
        <v>0.3972222222222222</v>
      </c>
      <c r="M519" s="2" t="s">
        <v>695</v>
      </c>
      <c r="N519" s="2" t="s">
        <v>500</v>
      </c>
      <c r="O519" s="2"/>
    </row>
    <row r="520" spans="1:15" x14ac:dyDescent="0.25">
      <c r="A520" s="2" t="s">
        <v>15</v>
      </c>
      <c r="B520" s="2" t="str">
        <f>"FES1162768097"</f>
        <v>FES1162768097</v>
      </c>
      <c r="C520" s="2" t="s">
        <v>411</v>
      </c>
      <c r="D520" s="2">
        <v>2</v>
      </c>
      <c r="E520" s="2" t="str">
        <f>"2170752201"</f>
        <v>2170752201</v>
      </c>
      <c r="F520" s="2" t="s">
        <v>17</v>
      </c>
      <c r="G520" s="2" t="s">
        <v>18</v>
      </c>
      <c r="H520" s="2" t="s">
        <v>36</v>
      </c>
      <c r="I520" s="2" t="s">
        <v>37</v>
      </c>
      <c r="J520" s="2" t="s">
        <v>403</v>
      </c>
      <c r="K520" s="2" t="s">
        <v>510</v>
      </c>
      <c r="L520" s="3">
        <v>0.5229166666666667</v>
      </c>
      <c r="M520" s="2" t="s">
        <v>674</v>
      </c>
      <c r="N520" s="2" t="s">
        <v>500</v>
      </c>
      <c r="O520" s="2"/>
    </row>
    <row r="521" spans="1:15" x14ac:dyDescent="0.25">
      <c r="A521" s="2" t="s">
        <v>15</v>
      </c>
      <c r="B521" s="2" t="str">
        <f>"FES1162767907"</f>
        <v>FES1162767907</v>
      </c>
      <c r="C521" s="2" t="s">
        <v>411</v>
      </c>
      <c r="D521" s="2">
        <v>1</v>
      </c>
      <c r="E521" s="2" t="str">
        <f>"2170748982"</f>
        <v>2170748982</v>
      </c>
      <c r="F521" s="2" t="s">
        <v>17</v>
      </c>
      <c r="G521" s="2" t="s">
        <v>18</v>
      </c>
      <c r="H521" s="2" t="s">
        <v>36</v>
      </c>
      <c r="I521" s="2" t="s">
        <v>37</v>
      </c>
      <c r="J521" s="2" t="s">
        <v>102</v>
      </c>
      <c r="K521" s="2" t="s">
        <v>510</v>
      </c>
      <c r="L521" s="3">
        <v>0.40208333333333335</v>
      </c>
      <c r="M521" s="2" t="s">
        <v>399</v>
      </c>
      <c r="N521" s="2" t="s">
        <v>500</v>
      </c>
      <c r="O521" s="2"/>
    </row>
    <row r="522" spans="1:15" x14ac:dyDescent="0.25">
      <c r="A522" s="2" t="s">
        <v>15</v>
      </c>
      <c r="B522" s="2" t="str">
        <f>"FES1162768112"</f>
        <v>FES1162768112</v>
      </c>
      <c r="C522" s="2" t="s">
        <v>411</v>
      </c>
      <c r="D522" s="2">
        <v>1</v>
      </c>
      <c r="E522" s="2" t="str">
        <f>"2170753790"</f>
        <v>2170753790</v>
      </c>
      <c r="F522" s="2" t="s">
        <v>17</v>
      </c>
      <c r="G522" s="2" t="s">
        <v>18</v>
      </c>
      <c r="H522" s="2" t="s">
        <v>25</v>
      </c>
      <c r="I522" s="2" t="s">
        <v>26</v>
      </c>
      <c r="J522" s="2" t="s">
        <v>474</v>
      </c>
      <c r="K522" s="2" t="s">
        <v>510</v>
      </c>
      <c r="L522" s="3">
        <v>0.41666666666666669</v>
      </c>
      <c r="M522" s="2" t="s">
        <v>689</v>
      </c>
      <c r="N522" s="2" t="s">
        <v>500</v>
      </c>
      <c r="O522" s="2"/>
    </row>
    <row r="523" spans="1:15" x14ac:dyDescent="0.25">
      <c r="A523" s="2" t="s">
        <v>15</v>
      </c>
      <c r="B523" s="2" t="str">
        <f>"FES1162768070"</f>
        <v>FES1162768070</v>
      </c>
      <c r="C523" s="2" t="s">
        <v>411</v>
      </c>
      <c r="D523" s="2">
        <v>1</v>
      </c>
      <c r="E523" s="2" t="str">
        <f>"2170755973"</f>
        <v>2170755973</v>
      </c>
      <c r="F523" s="2" t="s">
        <v>17</v>
      </c>
      <c r="G523" s="2" t="s">
        <v>18</v>
      </c>
      <c r="H523" s="2" t="s">
        <v>25</v>
      </c>
      <c r="I523" s="2" t="s">
        <v>26</v>
      </c>
      <c r="J523" s="2" t="s">
        <v>75</v>
      </c>
      <c r="K523" s="2" t="s">
        <v>510</v>
      </c>
      <c r="L523" s="3">
        <v>0.36041666666666666</v>
      </c>
      <c r="M523" s="2" t="s">
        <v>677</v>
      </c>
      <c r="N523" s="2" t="s">
        <v>500</v>
      </c>
      <c r="O523" s="2"/>
    </row>
    <row r="524" spans="1:15" x14ac:dyDescent="0.25">
      <c r="A524" s="2" t="s">
        <v>15</v>
      </c>
      <c r="B524" s="2" t="str">
        <f>"FES1162768086"</f>
        <v>FES1162768086</v>
      </c>
      <c r="C524" s="2" t="s">
        <v>411</v>
      </c>
      <c r="D524" s="2">
        <v>1</v>
      </c>
      <c r="E524" s="2" t="str">
        <f>"2170755998"</f>
        <v>2170755998</v>
      </c>
      <c r="F524" s="2" t="s">
        <v>17</v>
      </c>
      <c r="G524" s="2" t="s">
        <v>18</v>
      </c>
      <c r="H524" s="2" t="s">
        <v>19</v>
      </c>
      <c r="I524" s="2" t="s">
        <v>111</v>
      </c>
      <c r="J524" s="2" t="s">
        <v>629</v>
      </c>
      <c r="K524" s="2" t="s">
        <v>510</v>
      </c>
      <c r="L524" s="3">
        <v>0.38680555555555557</v>
      </c>
      <c r="M524" s="2" t="s">
        <v>696</v>
      </c>
      <c r="N524" s="2" t="s">
        <v>500</v>
      </c>
      <c r="O524" s="2"/>
    </row>
    <row r="525" spans="1:15" x14ac:dyDescent="0.25">
      <c r="A525" s="2" t="s">
        <v>15</v>
      </c>
      <c r="B525" s="2" t="str">
        <f>"FES1162768107"</f>
        <v>FES1162768107</v>
      </c>
      <c r="C525" s="2" t="s">
        <v>411</v>
      </c>
      <c r="D525" s="2">
        <v>1</v>
      </c>
      <c r="E525" s="2" t="str">
        <f>"2170753285"</f>
        <v>2170753285</v>
      </c>
      <c r="F525" s="2" t="s">
        <v>17</v>
      </c>
      <c r="G525" s="2" t="s">
        <v>18</v>
      </c>
      <c r="H525" s="2" t="s">
        <v>36</v>
      </c>
      <c r="I525" s="2" t="s">
        <v>37</v>
      </c>
      <c r="J525" s="2" t="s">
        <v>162</v>
      </c>
      <c r="K525" s="2" t="s">
        <v>510</v>
      </c>
      <c r="L525" s="3">
        <v>0.34027777777777773</v>
      </c>
      <c r="M525" s="2" t="s">
        <v>268</v>
      </c>
      <c r="N525" s="2" t="s">
        <v>500</v>
      </c>
      <c r="O525" s="2"/>
    </row>
    <row r="526" spans="1:15" x14ac:dyDescent="0.25">
      <c r="A526" s="2" t="s">
        <v>15</v>
      </c>
      <c r="B526" s="2" t="str">
        <f>"FES1162768077"</f>
        <v>FES1162768077</v>
      </c>
      <c r="C526" s="2" t="s">
        <v>411</v>
      </c>
      <c r="D526" s="2">
        <v>1</v>
      </c>
      <c r="E526" s="2" t="str">
        <f>"2170755985"</f>
        <v>2170755985</v>
      </c>
      <c r="F526" s="2" t="s">
        <v>17</v>
      </c>
      <c r="G526" s="2" t="s">
        <v>18</v>
      </c>
      <c r="H526" s="2" t="s">
        <v>18</v>
      </c>
      <c r="I526" s="2" t="s">
        <v>65</v>
      </c>
      <c r="J526" s="2" t="s">
        <v>66</v>
      </c>
      <c r="K526" s="2" t="s">
        <v>510</v>
      </c>
      <c r="L526" s="3">
        <v>0.33333333333333331</v>
      </c>
      <c r="M526" s="2" t="s">
        <v>697</v>
      </c>
      <c r="N526" s="2" t="s">
        <v>500</v>
      </c>
      <c r="O526" s="2"/>
    </row>
    <row r="527" spans="1:15" x14ac:dyDescent="0.25">
      <c r="A527" s="2" t="s">
        <v>15</v>
      </c>
      <c r="B527" s="2" t="str">
        <f>"FES1162768152"</f>
        <v>FES1162768152</v>
      </c>
      <c r="C527" s="2" t="s">
        <v>411</v>
      </c>
      <c r="D527" s="2">
        <v>1</v>
      </c>
      <c r="E527" s="2" t="str">
        <f>"2170756027"</f>
        <v>2170756027</v>
      </c>
      <c r="F527" s="2" t="s">
        <v>17</v>
      </c>
      <c r="G527" s="2" t="s">
        <v>18</v>
      </c>
      <c r="H527" s="2" t="s">
        <v>18</v>
      </c>
      <c r="I527" s="2" t="s">
        <v>46</v>
      </c>
      <c r="J527" s="2" t="s">
        <v>59</v>
      </c>
      <c r="K527" s="2" t="s">
        <v>510</v>
      </c>
      <c r="L527" s="3">
        <v>0.33124999999999999</v>
      </c>
      <c r="M527" s="2" t="s">
        <v>678</v>
      </c>
      <c r="N527" s="2" t="s">
        <v>500</v>
      </c>
      <c r="O527" s="2"/>
    </row>
    <row r="528" spans="1:15" x14ac:dyDescent="0.25">
      <c r="A528" s="2" t="s">
        <v>15</v>
      </c>
      <c r="B528" s="2" t="str">
        <f>"FES1162768050"</f>
        <v>FES1162768050</v>
      </c>
      <c r="C528" s="2" t="s">
        <v>411</v>
      </c>
      <c r="D528" s="2">
        <v>1</v>
      </c>
      <c r="E528" s="2" t="str">
        <f>"2170755394"</f>
        <v>2170755394</v>
      </c>
      <c r="F528" s="2" t="s">
        <v>17</v>
      </c>
      <c r="G528" s="2" t="s">
        <v>18</v>
      </c>
      <c r="H528" s="2" t="s">
        <v>78</v>
      </c>
      <c r="I528" s="2" t="s">
        <v>79</v>
      </c>
      <c r="J528" s="2" t="s">
        <v>630</v>
      </c>
      <c r="K528" s="2" t="s">
        <v>698</v>
      </c>
      <c r="L528" s="3">
        <v>0.54166666666666663</v>
      </c>
      <c r="M528" s="2" t="s">
        <v>920</v>
      </c>
      <c r="N528" s="2" t="s">
        <v>500</v>
      </c>
      <c r="O528" s="2"/>
    </row>
    <row r="529" spans="1:15" x14ac:dyDescent="0.25">
      <c r="A529" s="2" t="s">
        <v>15</v>
      </c>
      <c r="B529" s="2" t="str">
        <f>"FES1162768138"</f>
        <v>FES1162768138</v>
      </c>
      <c r="C529" s="2" t="s">
        <v>411</v>
      </c>
      <c r="D529" s="2">
        <v>1</v>
      </c>
      <c r="E529" s="2" t="str">
        <f>"2170756018"</f>
        <v>2170756018</v>
      </c>
      <c r="F529" s="2" t="s">
        <v>17</v>
      </c>
      <c r="G529" s="2" t="s">
        <v>18</v>
      </c>
      <c r="H529" s="2" t="s">
        <v>363</v>
      </c>
      <c r="I529" s="2" t="s">
        <v>489</v>
      </c>
      <c r="J529" s="2" t="s">
        <v>490</v>
      </c>
      <c r="K529" s="2" t="s">
        <v>510</v>
      </c>
      <c r="L529" s="3">
        <v>0.49861111111111112</v>
      </c>
      <c r="M529" s="2" t="s">
        <v>699</v>
      </c>
      <c r="N529" s="2" t="s">
        <v>500</v>
      </c>
      <c r="O529" s="2"/>
    </row>
    <row r="530" spans="1:15" x14ac:dyDescent="0.25">
      <c r="A530" s="2" t="s">
        <v>15</v>
      </c>
      <c r="B530" s="2" t="str">
        <f>"FES1162768053"</f>
        <v>FES1162768053</v>
      </c>
      <c r="C530" s="2" t="s">
        <v>411</v>
      </c>
      <c r="D530" s="2">
        <v>1</v>
      </c>
      <c r="E530" s="2" t="str">
        <f>"2170755571"</f>
        <v>2170755571</v>
      </c>
      <c r="F530" s="2" t="s">
        <v>17</v>
      </c>
      <c r="G530" s="2" t="s">
        <v>18</v>
      </c>
      <c r="H530" s="2" t="s">
        <v>78</v>
      </c>
      <c r="I530" s="2" t="s">
        <v>79</v>
      </c>
      <c r="J530" s="2" t="s">
        <v>630</v>
      </c>
      <c r="K530" s="2" t="s">
        <v>698</v>
      </c>
      <c r="L530" s="3">
        <v>0.54166666666666663</v>
      </c>
      <c r="M530" s="2" t="s">
        <v>920</v>
      </c>
      <c r="N530" s="2" t="s">
        <v>500</v>
      </c>
      <c r="O530" s="2"/>
    </row>
    <row r="531" spans="1:15" x14ac:dyDescent="0.25">
      <c r="A531" s="2" t="s">
        <v>15</v>
      </c>
      <c r="B531" s="2" t="str">
        <f>"FES1162768105"</f>
        <v>FES1162768105</v>
      </c>
      <c r="C531" s="2" t="s">
        <v>411</v>
      </c>
      <c r="D531" s="2">
        <v>1</v>
      </c>
      <c r="E531" s="2" t="str">
        <f>"2170753253"</f>
        <v>2170753253</v>
      </c>
      <c r="F531" s="2" t="s">
        <v>17</v>
      </c>
      <c r="G531" s="2" t="s">
        <v>18</v>
      </c>
      <c r="H531" s="2" t="s">
        <v>36</v>
      </c>
      <c r="I531" s="2" t="s">
        <v>37</v>
      </c>
      <c r="J531" s="2" t="s">
        <v>162</v>
      </c>
      <c r="K531" s="2" t="s">
        <v>510</v>
      </c>
      <c r="L531" s="3">
        <v>0.34027777777777773</v>
      </c>
      <c r="M531" s="2" t="s">
        <v>268</v>
      </c>
      <c r="N531" s="2" t="s">
        <v>500</v>
      </c>
      <c r="O531" s="2"/>
    </row>
    <row r="532" spans="1:15" x14ac:dyDescent="0.25">
      <c r="A532" s="2" t="s">
        <v>15</v>
      </c>
      <c r="B532" s="2" t="str">
        <f>"FES1162768108"</f>
        <v>FES1162768108</v>
      </c>
      <c r="C532" s="2" t="s">
        <v>411</v>
      </c>
      <c r="D532" s="2">
        <v>1</v>
      </c>
      <c r="E532" s="2" t="str">
        <f>"2170753330"</f>
        <v>2170753330</v>
      </c>
      <c r="F532" s="2" t="s">
        <v>17</v>
      </c>
      <c r="G532" s="2" t="s">
        <v>18</v>
      </c>
      <c r="H532" s="2" t="s">
        <v>36</v>
      </c>
      <c r="I532" s="2" t="s">
        <v>37</v>
      </c>
      <c r="J532" s="2" t="s">
        <v>631</v>
      </c>
      <c r="K532" s="2" t="s">
        <v>510</v>
      </c>
      <c r="L532" s="3">
        <v>0.38819444444444445</v>
      </c>
      <c r="M532" s="2" t="s">
        <v>700</v>
      </c>
      <c r="N532" s="2" t="s">
        <v>500</v>
      </c>
      <c r="O532" s="2"/>
    </row>
    <row r="533" spans="1:15" x14ac:dyDescent="0.25">
      <c r="A533" s="2" t="s">
        <v>15</v>
      </c>
      <c r="B533" s="2" t="str">
        <f>"FES1162768065"</f>
        <v>FES1162768065</v>
      </c>
      <c r="C533" s="2" t="s">
        <v>411</v>
      </c>
      <c r="D533" s="2">
        <v>1</v>
      </c>
      <c r="E533" s="2" t="str">
        <f>"2170755958"</f>
        <v>2170755958</v>
      </c>
      <c r="F533" s="2" t="s">
        <v>17</v>
      </c>
      <c r="G533" s="2" t="s">
        <v>18</v>
      </c>
      <c r="H533" s="2" t="s">
        <v>18</v>
      </c>
      <c r="I533" s="2" t="s">
        <v>290</v>
      </c>
      <c r="J533" s="2" t="s">
        <v>632</v>
      </c>
      <c r="K533" s="2" t="s">
        <v>510</v>
      </c>
      <c r="L533" s="3">
        <v>0.375</v>
      </c>
      <c r="M533" s="2" t="s">
        <v>701</v>
      </c>
      <c r="N533" s="2" t="s">
        <v>500</v>
      </c>
      <c r="O533" s="2"/>
    </row>
    <row r="534" spans="1:15" x14ac:dyDescent="0.25">
      <c r="A534" s="2" t="s">
        <v>15</v>
      </c>
      <c r="B534" s="2" t="str">
        <f>"FES1162768179"</f>
        <v>FES1162768179</v>
      </c>
      <c r="C534" s="2" t="s">
        <v>411</v>
      </c>
      <c r="D534" s="2">
        <v>1</v>
      </c>
      <c r="E534" s="2" t="str">
        <f>"2170756072"</f>
        <v>2170756072</v>
      </c>
      <c r="F534" s="2" t="s">
        <v>17</v>
      </c>
      <c r="G534" s="2" t="s">
        <v>18</v>
      </c>
      <c r="H534" s="2" t="s">
        <v>25</v>
      </c>
      <c r="I534" s="2" t="s">
        <v>39</v>
      </c>
      <c r="J534" s="2" t="s">
        <v>633</v>
      </c>
      <c r="K534" s="2" t="s">
        <v>510</v>
      </c>
      <c r="L534" s="3">
        <v>0.55138888888888882</v>
      </c>
      <c r="M534" s="2" t="s">
        <v>702</v>
      </c>
      <c r="N534" s="2" t="s">
        <v>500</v>
      </c>
      <c r="O534" s="2"/>
    </row>
    <row r="535" spans="1:15" x14ac:dyDescent="0.25">
      <c r="A535" s="2" t="s">
        <v>15</v>
      </c>
      <c r="B535" s="2" t="str">
        <f>"FES1162768082"</f>
        <v>FES1162768082</v>
      </c>
      <c r="C535" s="2" t="s">
        <v>411</v>
      </c>
      <c r="D535" s="2">
        <v>1</v>
      </c>
      <c r="E535" s="2" t="str">
        <f>"2170755992"</f>
        <v>2170755992</v>
      </c>
      <c r="F535" s="2" t="s">
        <v>17</v>
      </c>
      <c r="G535" s="2" t="s">
        <v>18</v>
      </c>
      <c r="H535" s="2" t="s">
        <v>78</v>
      </c>
      <c r="I535" s="2" t="s">
        <v>79</v>
      </c>
      <c r="J535" s="2" t="s">
        <v>409</v>
      </c>
      <c r="K535" s="2" t="s">
        <v>698</v>
      </c>
      <c r="L535" s="3">
        <v>0.42638888888888887</v>
      </c>
      <c r="M535" s="2" t="s">
        <v>507</v>
      </c>
      <c r="N535" s="2" t="s">
        <v>500</v>
      </c>
      <c r="O535" s="2"/>
    </row>
    <row r="536" spans="1:15" x14ac:dyDescent="0.25">
      <c r="A536" s="5" t="s">
        <v>15</v>
      </c>
      <c r="B536" s="5" t="str">
        <f>"FES1162768075"</f>
        <v>FES1162768075</v>
      </c>
      <c r="C536" s="5" t="s">
        <v>411</v>
      </c>
      <c r="D536" s="5">
        <v>1</v>
      </c>
      <c r="E536" s="5" t="str">
        <f>"2170755981"</f>
        <v>2170755981</v>
      </c>
      <c r="F536" s="5" t="s">
        <v>17</v>
      </c>
      <c r="G536" s="5" t="s">
        <v>18</v>
      </c>
      <c r="H536" s="5" t="s">
        <v>19</v>
      </c>
      <c r="I536" s="5" t="s">
        <v>111</v>
      </c>
      <c r="J536" s="5" t="s">
        <v>634</v>
      </c>
      <c r="K536" s="5" t="s">
        <v>1190</v>
      </c>
      <c r="L536" s="9">
        <v>0.38125000000000003</v>
      </c>
      <c r="M536" s="5" t="s">
        <v>1328</v>
      </c>
      <c r="N536" s="5" t="s">
        <v>500</v>
      </c>
      <c r="O536" s="5" t="s">
        <v>1246</v>
      </c>
    </row>
    <row r="537" spans="1:15" x14ac:dyDescent="0.25">
      <c r="A537" s="2" t="s">
        <v>15</v>
      </c>
      <c r="B537" s="2" t="str">
        <f>"FES1162768181"</f>
        <v>FES1162768181</v>
      </c>
      <c r="C537" s="2" t="s">
        <v>411</v>
      </c>
      <c r="D537" s="2">
        <v>1</v>
      </c>
      <c r="E537" s="2" t="str">
        <f>"2170754100"</f>
        <v>2170754100</v>
      </c>
      <c r="F537" s="2" t="s">
        <v>17</v>
      </c>
      <c r="G537" s="2" t="s">
        <v>18</v>
      </c>
      <c r="H537" s="2" t="s">
        <v>25</v>
      </c>
      <c r="I537" s="2" t="s">
        <v>345</v>
      </c>
      <c r="J537" s="2" t="s">
        <v>412</v>
      </c>
      <c r="K537" s="2" t="s">
        <v>698</v>
      </c>
      <c r="L537" s="3">
        <v>0.33055555555555555</v>
      </c>
      <c r="M537" s="2" t="s">
        <v>703</v>
      </c>
      <c r="N537" s="2" t="s">
        <v>500</v>
      </c>
      <c r="O537" s="2"/>
    </row>
    <row r="538" spans="1:15" x14ac:dyDescent="0.25">
      <c r="A538" s="2" t="s">
        <v>15</v>
      </c>
      <c r="B538" s="2" t="str">
        <f>"FES1162768130"</f>
        <v>FES1162768130</v>
      </c>
      <c r="C538" s="2" t="s">
        <v>411</v>
      </c>
      <c r="D538" s="2">
        <v>1</v>
      </c>
      <c r="E538" s="2" t="str">
        <f>"2170753388"</f>
        <v>2170753388</v>
      </c>
      <c r="F538" s="2" t="s">
        <v>17</v>
      </c>
      <c r="G538" s="2" t="s">
        <v>18</v>
      </c>
      <c r="H538" s="2" t="s">
        <v>88</v>
      </c>
      <c r="I538" s="2" t="s">
        <v>109</v>
      </c>
      <c r="J538" s="2" t="s">
        <v>635</v>
      </c>
      <c r="K538" s="2" t="s">
        <v>510</v>
      </c>
      <c r="L538" s="3">
        <v>0.4375</v>
      </c>
      <c r="M538" s="2" t="s">
        <v>704</v>
      </c>
      <c r="N538" s="2" t="s">
        <v>500</v>
      </c>
      <c r="O538" s="2"/>
    </row>
    <row r="539" spans="1:15" x14ac:dyDescent="0.25">
      <c r="A539" s="2" t="s">
        <v>15</v>
      </c>
      <c r="B539" s="2" t="str">
        <f>"FES1162768043"</f>
        <v>FES1162768043</v>
      </c>
      <c r="C539" s="2" t="s">
        <v>411</v>
      </c>
      <c r="D539" s="2">
        <v>1</v>
      </c>
      <c r="E539" s="2" t="str">
        <f>"2170754948"</f>
        <v>2170754948</v>
      </c>
      <c r="F539" s="2" t="s">
        <v>17</v>
      </c>
      <c r="G539" s="2" t="s">
        <v>18</v>
      </c>
      <c r="H539" s="2" t="s">
        <v>88</v>
      </c>
      <c r="I539" s="2" t="s">
        <v>109</v>
      </c>
      <c r="J539" s="2" t="s">
        <v>636</v>
      </c>
      <c r="K539" s="2" t="s">
        <v>510</v>
      </c>
      <c r="L539" s="3">
        <v>0.60416666666666663</v>
      </c>
      <c r="M539" s="2" t="s">
        <v>636</v>
      </c>
      <c r="N539" s="2" t="s">
        <v>500</v>
      </c>
      <c r="O539" s="2"/>
    </row>
    <row r="540" spans="1:15" x14ac:dyDescent="0.25">
      <c r="A540" s="2" t="s">
        <v>15</v>
      </c>
      <c r="B540" s="2" t="str">
        <f>"FES1162768010"</f>
        <v>FES1162768010</v>
      </c>
      <c r="C540" s="2" t="s">
        <v>411</v>
      </c>
      <c r="D540" s="2">
        <v>2</v>
      </c>
      <c r="E540" s="2" t="str">
        <f>"2170753297"</f>
        <v>2170753297</v>
      </c>
      <c r="F540" s="2" t="s">
        <v>17</v>
      </c>
      <c r="G540" s="2" t="s">
        <v>18</v>
      </c>
      <c r="H540" s="2" t="s">
        <v>36</v>
      </c>
      <c r="I540" s="2" t="s">
        <v>37</v>
      </c>
      <c r="J540" s="2" t="s">
        <v>162</v>
      </c>
      <c r="K540" s="2" t="s">
        <v>510</v>
      </c>
      <c r="L540" s="3">
        <v>0.34027777777777773</v>
      </c>
      <c r="M540" s="2" t="s">
        <v>268</v>
      </c>
      <c r="N540" s="2" t="s">
        <v>500</v>
      </c>
      <c r="O540" s="2"/>
    </row>
    <row r="541" spans="1:15" x14ac:dyDescent="0.25">
      <c r="A541" s="2" t="s">
        <v>15</v>
      </c>
      <c r="B541" s="2" t="str">
        <f>"FES1162768104"</f>
        <v>FES1162768104</v>
      </c>
      <c r="C541" s="2" t="s">
        <v>411</v>
      </c>
      <c r="D541" s="2">
        <v>1</v>
      </c>
      <c r="E541" s="2" t="str">
        <f>"2170753247"</f>
        <v>2170753247</v>
      </c>
      <c r="F541" s="2" t="s">
        <v>17</v>
      </c>
      <c r="G541" s="2" t="s">
        <v>18</v>
      </c>
      <c r="H541" s="2" t="s">
        <v>36</v>
      </c>
      <c r="I541" s="2" t="s">
        <v>37</v>
      </c>
      <c r="J541" s="2" t="s">
        <v>162</v>
      </c>
      <c r="K541" s="2" t="s">
        <v>510</v>
      </c>
      <c r="L541" s="3">
        <v>0.34027777777777773</v>
      </c>
      <c r="M541" s="2" t="s">
        <v>268</v>
      </c>
      <c r="N541" s="2" t="s">
        <v>500</v>
      </c>
      <c r="O541" s="2"/>
    </row>
    <row r="542" spans="1:15" x14ac:dyDescent="0.25">
      <c r="A542" s="2" t="s">
        <v>15</v>
      </c>
      <c r="B542" s="2" t="str">
        <f>"FES1162768095"</f>
        <v>FES1162768095</v>
      </c>
      <c r="C542" s="2" t="s">
        <v>411</v>
      </c>
      <c r="D542" s="2">
        <v>1</v>
      </c>
      <c r="E542" s="2" t="str">
        <f>"2170752057"</f>
        <v>2170752057</v>
      </c>
      <c r="F542" s="2" t="s">
        <v>17</v>
      </c>
      <c r="G542" s="2" t="s">
        <v>18</v>
      </c>
      <c r="H542" s="2" t="s">
        <v>19</v>
      </c>
      <c r="I542" s="2" t="s">
        <v>20</v>
      </c>
      <c r="J542" s="2" t="s">
        <v>77</v>
      </c>
      <c r="K542" s="2" t="s">
        <v>510</v>
      </c>
      <c r="L542" s="3">
        <v>0.36041666666666666</v>
      </c>
      <c r="M542" s="2" t="s">
        <v>198</v>
      </c>
      <c r="N542" s="2" t="s">
        <v>500</v>
      </c>
      <c r="O542" s="2"/>
    </row>
    <row r="543" spans="1:15" x14ac:dyDescent="0.25">
      <c r="A543" s="2" t="s">
        <v>15</v>
      </c>
      <c r="B543" s="2" t="str">
        <f>"FES1162768106"</f>
        <v>FES1162768106</v>
      </c>
      <c r="C543" s="2" t="s">
        <v>411</v>
      </c>
      <c r="D543" s="2">
        <v>2</v>
      </c>
      <c r="E543" s="2" t="str">
        <f>"2170753258"</f>
        <v>2170753258</v>
      </c>
      <c r="F543" s="2" t="s">
        <v>17</v>
      </c>
      <c r="G543" s="2" t="s">
        <v>18</v>
      </c>
      <c r="H543" s="2" t="s">
        <v>36</v>
      </c>
      <c r="I543" s="2" t="s">
        <v>37</v>
      </c>
      <c r="J543" s="2" t="s">
        <v>162</v>
      </c>
      <c r="K543" s="2" t="s">
        <v>510</v>
      </c>
      <c r="L543" s="3">
        <v>0.34027777777777773</v>
      </c>
      <c r="M543" s="2" t="s">
        <v>268</v>
      </c>
      <c r="N543" s="2" t="s">
        <v>500</v>
      </c>
      <c r="O543" s="2"/>
    </row>
    <row r="544" spans="1:15" x14ac:dyDescent="0.25">
      <c r="A544" s="2" t="s">
        <v>15</v>
      </c>
      <c r="B544" s="2" t="str">
        <f>"FES1162768054"</f>
        <v>FES1162768054</v>
      </c>
      <c r="C544" s="2" t="s">
        <v>411</v>
      </c>
      <c r="D544" s="2">
        <v>1</v>
      </c>
      <c r="E544" s="2" t="str">
        <f>"2170755621"</f>
        <v>2170755621</v>
      </c>
      <c r="F544" s="2" t="s">
        <v>17</v>
      </c>
      <c r="G544" s="2" t="s">
        <v>18</v>
      </c>
      <c r="H544" s="2" t="s">
        <v>18</v>
      </c>
      <c r="I544" s="2" t="s">
        <v>50</v>
      </c>
      <c r="J544" s="2" t="s">
        <v>637</v>
      </c>
      <c r="K544" s="2" t="s">
        <v>510</v>
      </c>
      <c r="L544" s="3">
        <v>0.375</v>
      </c>
      <c r="M544" s="2" t="s">
        <v>563</v>
      </c>
      <c r="N544" s="2" t="s">
        <v>500</v>
      </c>
      <c r="O544" s="2"/>
    </row>
    <row r="545" spans="1:15" x14ac:dyDescent="0.25">
      <c r="A545" s="2" t="s">
        <v>15</v>
      </c>
      <c r="B545" s="2" t="str">
        <f>"FES1162768115"</f>
        <v>FES1162768115</v>
      </c>
      <c r="C545" s="2" t="s">
        <v>411</v>
      </c>
      <c r="D545" s="2">
        <v>1</v>
      </c>
      <c r="E545" s="2" t="str">
        <f>"2170756005"</f>
        <v>2170756005</v>
      </c>
      <c r="F545" s="2" t="s">
        <v>17</v>
      </c>
      <c r="G545" s="2" t="s">
        <v>18</v>
      </c>
      <c r="H545" s="2" t="s">
        <v>88</v>
      </c>
      <c r="I545" s="2" t="s">
        <v>109</v>
      </c>
      <c r="J545" s="2" t="s">
        <v>638</v>
      </c>
      <c r="K545" s="2" t="s">
        <v>510</v>
      </c>
      <c r="L545" s="3">
        <v>0.4236111111111111</v>
      </c>
      <c r="M545" s="2" t="s">
        <v>705</v>
      </c>
      <c r="N545" s="2" t="s">
        <v>500</v>
      </c>
      <c r="O545" s="2"/>
    </row>
    <row r="546" spans="1:15" x14ac:dyDescent="0.25">
      <c r="A546" s="2" t="s">
        <v>15</v>
      </c>
      <c r="B546" s="2" t="str">
        <f>"FES1162768120"</f>
        <v>FES1162768120</v>
      </c>
      <c r="C546" s="2" t="s">
        <v>411</v>
      </c>
      <c r="D546" s="2">
        <v>1</v>
      </c>
      <c r="E546" s="2" t="str">
        <f>"2170756010"</f>
        <v>2170756010</v>
      </c>
      <c r="F546" s="2" t="s">
        <v>17</v>
      </c>
      <c r="G546" s="2" t="s">
        <v>18</v>
      </c>
      <c r="H546" s="2" t="s">
        <v>88</v>
      </c>
      <c r="I546" s="2" t="s">
        <v>109</v>
      </c>
      <c r="J546" s="2" t="s">
        <v>638</v>
      </c>
      <c r="K546" s="2" t="s">
        <v>510</v>
      </c>
      <c r="L546" s="3">
        <v>0.4236111111111111</v>
      </c>
      <c r="M546" s="2" t="s">
        <v>705</v>
      </c>
      <c r="N546" s="2" t="s">
        <v>500</v>
      </c>
      <c r="O546" s="2"/>
    </row>
    <row r="547" spans="1:15" x14ac:dyDescent="0.25">
      <c r="A547" s="2" t="s">
        <v>15</v>
      </c>
      <c r="B547" s="2" t="str">
        <f>"FES1162768118"</f>
        <v>FES1162768118</v>
      </c>
      <c r="C547" s="2" t="s">
        <v>411</v>
      </c>
      <c r="D547" s="2">
        <v>1</v>
      </c>
      <c r="E547" s="2" t="str">
        <f>"2170756008"</f>
        <v>2170756008</v>
      </c>
      <c r="F547" s="2" t="s">
        <v>17</v>
      </c>
      <c r="G547" s="2" t="s">
        <v>18</v>
      </c>
      <c r="H547" s="2" t="s">
        <v>88</v>
      </c>
      <c r="I547" s="2" t="s">
        <v>109</v>
      </c>
      <c r="J547" s="2" t="s">
        <v>638</v>
      </c>
      <c r="K547" s="2" t="s">
        <v>510</v>
      </c>
      <c r="L547" s="3">
        <v>0.4236111111111111</v>
      </c>
      <c r="M547" s="2" t="s">
        <v>705</v>
      </c>
      <c r="N547" s="2" t="s">
        <v>500</v>
      </c>
      <c r="O547" s="2"/>
    </row>
    <row r="548" spans="1:15" x14ac:dyDescent="0.25">
      <c r="A548" s="2" t="s">
        <v>15</v>
      </c>
      <c r="B548" s="2" t="str">
        <f>"FES1162768056"</f>
        <v>FES1162768056</v>
      </c>
      <c r="C548" s="2" t="s">
        <v>411</v>
      </c>
      <c r="D548" s="2">
        <v>1</v>
      </c>
      <c r="E548" s="2" t="str">
        <f>"2170755632"</f>
        <v>2170755632</v>
      </c>
      <c r="F548" s="2" t="s">
        <v>17</v>
      </c>
      <c r="G548" s="2" t="s">
        <v>18</v>
      </c>
      <c r="H548" s="2" t="s">
        <v>78</v>
      </c>
      <c r="I548" s="2" t="s">
        <v>79</v>
      </c>
      <c r="J548" s="2" t="s">
        <v>80</v>
      </c>
      <c r="K548" s="2" t="s">
        <v>510</v>
      </c>
      <c r="L548" s="3">
        <v>0.44097222222222227</v>
      </c>
      <c r="M548" s="2" t="s">
        <v>806</v>
      </c>
      <c r="N548" s="2" t="s">
        <v>500</v>
      </c>
      <c r="O548" s="2"/>
    </row>
    <row r="549" spans="1:15" x14ac:dyDescent="0.25">
      <c r="A549" s="2" t="s">
        <v>15</v>
      </c>
      <c r="B549" s="2" t="str">
        <f>"FES1162768141"</f>
        <v>FES1162768141</v>
      </c>
      <c r="C549" s="2" t="s">
        <v>411</v>
      </c>
      <c r="D549" s="2">
        <v>1</v>
      </c>
      <c r="E549" s="2" t="str">
        <f>"2170753002"</f>
        <v>2170753002</v>
      </c>
      <c r="F549" s="2" t="s">
        <v>17</v>
      </c>
      <c r="G549" s="2" t="s">
        <v>18</v>
      </c>
      <c r="H549" s="2" t="s">
        <v>25</v>
      </c>
      <c r="I549" s="2" t="s">
        <v>26</v>
      </c>
      <c r="J549" s="2" t="s">
        <v>27</v>
      </c>
      <c r="K549" s="2" t="s">
        <v>510</v>
      </c>
      <c r="L549" s="3">
        <v>0.41736111111111113</v>
      </c>
      <c r="M549" s="2" t="s">
        <v>521</v>
      </c>
      <c r="N549" s="2" t="s">
        <v>500</v>
      </c>
      <c r="O549" s="2"/>
    </row>
    <row r="550" spans="1:15" x14ac:dyDescent="0.25">
      <c r="A550" s="2" t="s">
        <v>15</v>
      </c>
      <c r="B550" s="2" t="str">
        <f>"FES1162768142"</f>
        <v>FES1162768142</v>
      </c>
      <c r="C550" s="2" t="s">
        <v>411</v>
      </c>
      <c r="D550" s="2">
        <v>1</v>
      </c>
      <c r="E550" s="2" t="str">
        <f>"2170753007"</f>
        <v>2170753007</v>
      </c>
      <c r="F550" s="2" t="s">
        <v>17</v>
      </c>
      <c r="G550" s="2" t="s">
        <v>18</v>
      </c>
      <c r="H550" s="2" t="s">
        <v>25</v>
      </c>
      <c r="I550" s="2" t="s">
        <v>26</v>
      </c>
      <c r="J550" s="2" t="s">
        <v>27</v>
      </c>
      <c r="K550" s="2" t="s">
        <v>510</v>
      </c>
      <c r="L550" s="3">
        <v>0.41666666666666669</v>
      </c>
      <c r="M550" s="2" t="s">
        <v>521</v>
      </c>
      <c r="N550" s="2" t="s">
        <v>500</v>
      </c>
      <c r="O550" s="2"/>
    </row>
    <row r="551" spans="1:15" x14ac:dyDescent="0.25">
      <c r="A551" s="2" t="s">
        <v>15</v>
      </c>
      <c r="B551" s="2" t="str">
        <f>"FES1162768129"</f>
        <v>FES1162768129</v>
      </c>
      <c r="C551" s="2" t="s">
        <v>411</v>
      </c>
      <c r="D551" s="2">
        <v>1</v>
      </c>
      <c r="E551" s="2" t="str">
        <f>"2170753251"</f>
        <v>2170753251</v>
      </c>
      <c r="F551" s="2" t="s">
        <v>17</v>
      </c>
      <c r="G551" s="2" t="s">
        <v>18</v>
      </c>
      <c r="H551" s="2" t="s">
        <v>36</v>
      </c>
      <c r="I551" s="2" t="s">
        <v>37</v>
      </c>
      <c r="J551" s="2" t="s">
        <v>162</v>
      </c>
      <c r="K551" s="2" t="s">
        <v>510</v>
      </c>
      <c r="L551" s="3">
        <v>0.34027777777777773</v>
      </c>
      <c r="M551" s="2" t="s">
        <v>268</v>
      </c>
      <c r="N551" s="2" t="s">
        <v>500</v>
      </c>
      <c r="O551" s="2"/>
    </row>
    <row r="552" spans="1:15" x14ac:dyDescent="0.25">
      <c r="A552" s="2" t="s">
        <v>15</v>
      </c>
      <c r="B552" s="2" t="str">
        <f>"FES1162768134"</f>
        <v>FES1162768134</v>
      </c>
      <c r="C552" s="2" t="s">
        <v>411</v>
      </c>
      <c r="D552" s="2">
        <v>1</v>
      </c>
      <c r="E552" s="2" t="str">
        <f>"2170753307"</f>
        <v>2170753307</v>
      </c>
      <c r="F552" s="2" t="s">
        <v>17</v>
      </c>
      <c r="G552" s="2" t="s">
        <v>18</v>
      </c>
      <c r="H552" s="2" t="s">
        <v>36</v>
      </c>
      <c r="I552" s="2" t="s">
        <v>37</v>
      </c>
      <c r="J552" s="2" t="s">
        <v>162</v>
      </c>
      <c r="K552" s="2" t="s">
        <v>510</v>
      </c>
      <c r="L552" s="3">
        <v>0.47152777777777777</v>
      </c>
      <c r="M552" s="2" t="s">
        <v>268</v>
      </c>
      <c r="N552" s="2" t="s">
        <v>500</v>
      </c>
      <c r="O552" s="2"/>
    </row>
    <row r="553" spans="1:15" x14ac:dyDescent="0.25">
      <c r="A553" s="2" t="s">
        <v>15</v>
      </c>
      <c r="B553" s="2" t="str">
        <f>"FES1162768067"</f>
        <v>FES1162768067</v>
      </c>
      <c r="C553" s="2" t="s">
        <v>411</v>
      </c>
      <c r="D553" s="2">
        <v>1</v>
      </c>
      <c r="E553" s="2" t="str">
        <f>"2170755961"</f>
        <v>2170755961</v>
      </c>
      <c r="F553" s="2" t="s">
        <v>17</v>
      </c>
      <c r="G553" s="2" t="s">
        <v>18</v>
      </c>
      <c r="H553" s="2" t="s">
        <v>33</v>
      </c>
      <c r="I553" s="2" t="s">
        <v>34</v>
      </c>
      <c r="J553" s="2" t="s">
        <v>400</v>
      </c>
      <c r="K553" s="2" t="s">
        <v>510</v>
      </c>
      <c r="L553" s="3">
        <v>0.43333333333333335</v>
      </c>
      <c r="M553" s="2" t="s">
        <v>706</v>
      </c>
      <c r="N553" s="2" t="s">
        <v>500</v>
      </c>
      <c r="O553" s="2"/>
    </row>
    <row r="554" spans="1:15" x14ac:dyDescent="0.25">
      <c r="A554" s="2" t="s">
        <v>15</v>
      </c>
      <c r="B554" s="2" t="str">
        <f>"FES1162767952"</f>
        <v>FES1162767952</v>
      </c>
      <c r="C554" s="2" t="s">
        <v>411</v>
      </c>
      <c r="D554" s="2">
        <v>1</v>
      </c>
      <c r="E554" s="2" t="str">
        <f>"2170754360"</f>
        <v>2170754360</v>
      </c>
      <c r="F554" s="2" t="s">
        <v>205</v>
      </c>
      <c r="G554" s="2" t="s">
        <v>206</v>
      </c>
      <c r="H554" s="2" t="s">
        <v>19</v>
      </c>
      <c r="I554" s="2" t="s">
        <v>20</v>
      </c>
      <c r="J554" s="2" t="s">
        <v>21</v>
      </c>
      <c r="K554" s="2" t="s">
        <v>510</v>
      </c>
      <c r="L554" s="3">
        <v>0.52916666666666667</v>
      </c>
      <c r="M554" s="2" t="s">
        <v>707</v>
      </c>
      <c r="N554" s="2" t="s">
        <v>500</v>
      </c>
      <c r="O554" s="2"/>
    </row>
    <row r="555" spans="1:15" x14ac:dyDescent="0.25">
      <c r="A555" s="2" t="s">
        <v>15</v>
      </c>
      <c r="B555" s="2" t="str">
        <f>"FES1162768173"</f>
        <v>FES1162768173</v>
      </c>
      <c r="C555" s="2" t="s">
        <v>411</v>
      </c>
      <c r="D555" s="2">
        <v>1</v>
      </c>
      <c r="E555" s="2" t="str">
        <f>"2170756061"</f>
        <v>2170756061</v>
      </c>
      <c r="F555" s="2" t="s">
        <v>17</v>
      </c>
      <c r="G555" s="2" t="s">
        <v>18</v>
      </c>
      <c r="H555" s="2" t="s">
        <v>25</v>
      </c>
      <c r="I555" s="2" t="s">
        <v>26</v>
      </c>
      <c r="J555" s="2" t="s">
        <v>27</v>
      </c>
      <c r="K555" s="2" t="s">
        <v>510</v>
      </c>
      <c r="L555" s="3">
        <v>0.41736111111111113</v>
      </c>
      <c r="M555" s="2" t="s">
        <v>521</v>
      </c>
      <c r="N555" s="2" t="s">
        <v>500</v>
      </c>
      <c r="O555" s="2"/>
    </row>
    <row r="556" spans="1:15" x14ac:dyDescent="0.25">
      <c r="A556" s="2" t="s">
        <v>15</v>
      </c>
      <c r="B556" s="2" t="str">
        <f>"FES1162768078"</f>
        <v>FES1162768078</v>
      </c>
      <c r="C556" s="2" t="s">
        <v>411</v>
      </c>
      <c r="D556" s="2">
        <v>1</v>
      </c>
      <c r="E556" s="2" t="str">
        <f>"2170755986"</f>
        <v>2170755986</v>
      </c>
      <c r="F556" s="2" t="s">
        <v>17</v>
      </c>
      <c r="G556" s="2" t="s">
        <v>18</v>
      </c>
      <c r="H556" s="2" t="s">
        <v>78</v>
      </c>
      <c r="I556" s="2" t="s">
        <v>79</v>
      </c>
      <c r="J556" s="2" t="s">
        <v>118</v>
      </c>
      <c r="K556" s="2" t="s">
        <v>510</v>
      </c>
      <c r="L556" s="3">
        <v>0.45</v>
      </c>
      <c r="M556" s="2" t="s">
        <v>708</v>
      </c>
      <c r="N556" s="2" t="s">
        <v>500</v>
      </c>
      <c r="O556" s="2"/>
    </row>
    <row r="557" spans="1:15" x14ac:dyDescent="0.25">
      <c r="A557" s="2" t="s">
        <v>15</v>
      </c>
      <c r="B557" s="2" t="str">
        <f>"FES1162768177"</f>
        <v>FES1162768177</v>
      </c>
      <c r="C557" s="2" t="s">
        <v>411</v>
      </c>
      <c r="D557" s="2">
        <v>1</v>
      </c>
      <c r="E557" s="2" t="str">
        <f>"2170756067"</f>
        <v>2170756067</v>
      </c>
      <c r="F557" s="2" t="s">
        <v>17</v>
      </c>
      <c r="G557" s="2" t="s">
        <v>18</v>
      </c>
      <c r="H557" s="2" t="s">
        <v>25</v>
      </c>
      <c r="I557" s="2" t="s">
        <v>125</v>
      </c>
      <c r="J557" s="2" t="s">
        <v>126</v>
      </c>
      <c r="K557" s="2" t="s">
        <v>510</v>
      </c>
      <c r="L557" s="3">
        <v>0.40972222222222227</v>
      </c>
      <c r="M557" s="2" t="s">
        <v>388</v>
      </c>
      <c r="N557" s="2" t="s">
        <v>500</v>
      </c>
      <c r="O557" s="2"/>
    </row>
    <row r="558" spans="1:15" x14ac:dyDescent="0.25">
      <c r="A558" s="2" t="s">
        <v>15</v>
      </c>
      <c r="B558" s="2" t="str">
        <f>"FES1162768157"</f>
        <v>FES1162768157</v>
      </c>
      <c r="C558" s="2" t="s">
        <v>411</v>
      </c>
      <c r="D558" s="2">
        <v>1</v>
      </c>
      <c r="E558" s="2" t="str">
        <f>"2170756033"</f>
        <v>2170756033</v>
      </c>
      <c r="F558" s="2" t="s">
        <v>17</v>
      </c>
      <c r="G558" s="2" t="s">
        <v>18</v>
      </c>
      <c r="H558" s="2" t="s">
        <v>25</v>
      </c>
      <c r="I558" s="2" t="s">
        <v>42</v>
      </c>
      <c r="J558" s="2" t="s">
        <v>639</v>
      </c>
      <c r="K558" s="2" t="s">
        <v>510</v>
      </c>
      <c r="L558" s="3">
        <v>0.51458333333333328</v>
      </c>
      <c r="M558" s="2" t="s">
        <v>709</v>
      </c>
      <c r="N558" s="2" t="s">
        <v>500</v>
      </c>
      <c r="O558" s="2"/>
    </row>
    <row r="559" spans="1:15" x14ac:dyDescent="0.25">
      <c r="A559" s="2" t="s">
        <v>15</v>
      </c>
      <c r="B559" s="2" t="str">
        <f>"FES1162768170"</f>
        <v>FES1162768170</v>
      </c>
      <c r="C559" s="2" t="s">
        <v>411</v>
      </c>
      <c r="D559" s="2">
        <v>1</v>
      </c>
      <c r="E559" s="2" t="str">
        <f>"2170756056"</f>
        <v>2170756056</v>
      </c>
      <c r="F559" s="2" t="s">
        <v>17</v>
      </c>
      <c r="G559" s="2" t="s">
        <v>18</v>
      </c>
      <c r="H559" s="2" t="s">
        <v>25</v>
      </c>
      <c r="I559" s="2" t="s">
        <v>26</v>
      </c>
      <c r="J559" s="2" t="s">
        <v>100</v>
      </c>
      <c r="K559" s="2" t="s">
        <v>510</v>
      </c>
      <c r="L559" s="3">
        <v>0.3430555555555555</v>
      </c>
      <c r="M559" s="2" t="s">
        <v>640</v>
      </c>
      <c r="N559" s="2" t="s">
        <v>500</v>
      </c>
      <c r="O559" s="2"/>
    </row>
    <row r="560" spans="1:15" x14ac:dyDescent="0.25">
      <c r="A560" s="2" t="s">
        <v>15</v>
      </c>
      <c r="B560" s="2" t="str">
        <f>"FES1162768136"</f>
        <v>FES1162768136</v>
      </c>
      <c r="C560" s="2" t="s">
        <v>411</v>
      </c>
      <c r="D560" s="2">
        <v>1</v>
      </c>
      <c r="E560" s="2" t="str">
        <f>"2170756016"</f>
        <v>2170756016</v>
      </c>
      <c r="F560" s="2" t="s">
        <v>17</v>
      </c>
      <c r="G560" s="2" t="s">
        <v>18</v>
      </c>
      <c r="H560" s="2" t="s">
        <v>25</v>
      </c>
      <c r="I560" s="2" t="s">
        <v>26</v>
      </c>
      <c r="J560" s="2" t="s">
        <v>75</v>
      </c>
      <c r="K560" s="2" t="s">
        <v>510</v>
      </c>
      <c r="L560" s="3">
        <v>0.3611111111111111</v>
      </c>
      <c r="M560" s="2" t="s">
        <v>677</v>
      </c>
      <c r="N560" s="2" t="s">
        <v>500</v>
      </c>
      <c r="O560" s="2"/>
    </row>
    <row r="561" spans="1:15" x14ac:dyDescent="0.25">
      <c r="A561" s="2" t="s">
        <v>15</v>
      </c>
      <c r="B561" s="2" t="str">
        <f>"FES1162768178"</f>
        <v>FES1162768178</v>
      </c>
      <c r="C561" s="2" t="s">
        <v>411</v>
      </c>
      <c r="D561" s="2">
        <v>1</v>
      </c>
      <c r="E561" s="2" t="str">
        <f>"2170756068"</f>
        <v>2170756068</v>
      </c>
      <c r="F561" s="2" t="s">
        <v>17</v>
      </c>
      <c r="G561" s="2" t="s">
        <v>18</v>
      </c>
      <c r="H561" s="2" t="s">
        <v>25</v>
      </c>
      <c r="I561" s="2" t="s">
        <v>26</v>
      </c>
      <c r="J561" s="2" t="s">
        <v>27</v>
      </c>
      <c r="K561" s="2" t="s">
        <v>510</v>
      </c>
      <c r="L561" s="3">
        <v>0.41944444444444445</v>
      </c>
      <c r="M561" s="2" t="s">
        <v>521</v>
      </c>
      <c r="N561" s="2" t="s">
        <v>500</v>
      </c>
      <c r="O561" s="2"/>
    </row>
    <row r="562" spans="1:15" x14ac:dyDescent="0.25">
      <c r="A562" s="2" t="s">
        <v>15</v>
      </c>
      <c r="B562" s="2" t="str">
        <f>"FES1162768199"</f>
        <v>FES1162768199</v>
      </c>
      <c r="C562" s="2" t="s">
        <v>411</v>
      </c>
      <c r="D562" s="2">
        <v>1</v>
      </c>
      <c r="E562" s="2" t="str">
        <f>"2170756093"</f>
        <v>2170756093</v>
      </c>
      <c r="F562" s="2" t="s">
        <v>17</v>
      </c>
      <c r="G562" s="2" t="s">
        <v>18</v>
      </c>
      <c r="H562" s="2" t="s">
        <v>25</v>
      </c>
      <c r="I562" s="2" t="s">
        <v>39</v>
      </c>
      <c r="J562" s="2" t="s">
        <v>40</v>
      </c>
      <c r="K562" s="2" t="s">
        <v>510</v>
      </c>
      <c r="L562" s="3">
        <v>0.52083333333333337</v>
      </c>
      <c r="M562" s="2" t="s">
        <v>807</v>
      </c>
      <c r="N562" s="2" t="s">
        <v>500</v>
      </c>
      <c r="O562" s="2"/>
    </row>
    <row r="563" spans="1:15" x14ac:dyDescent="0.25">
      <c r="A563" s="2" t="s">
        <v>15</v>
      </c>
      <c r="B563" s="2" t="str">
        <f>"FES1162767593"</f>
        <v>FES1162767593</v>
      </c>
      <c r="C563" s="2" t="s">
        <v>411</v>
      </c>
      <c r="D563" s="2">
        <v>1</v>
      </c>
      <c r="E563" s="2" t="str">
        <f>"2170753720"</f>
        <v>2170753720</v>
      </c>
      <c r="F563" s="2" t="s">
        <v>17</v>
      </c>
      <c r="G563" s="2" t="s">
        <v>18</v>
      </c>
      <c r="H563" s="2" t="s">
        <v>18</v>
      </c>
      <c r="I563" s="2" t="s">
        <v>290</v>
      </c>
      <c r="J563" s="2" t="s">
        <v>458</v>
      </c>
      <c r="K563" s="2" t="s">
        <v>510</v>
      </c>
      <c r="L563" s="3">
        <v>0.375</v>
      </c>
      <c r="M563" s="2" t="s">
        <v>710</v>
      </c>
      <c r="N563" s="2" t="s">
        <v>500</v>
      </c>
      <c r="O563" s="2"/>
    </row>
    <row r="564" spans="1:15" x14ac:dyDescent="0.25">
      <c r="A564" s="2" t="s">
        <v>15</v>
      </c>
      <c r="B564" s="2" t="str">
        <f>"FES1162768049"</f>
        <v>FES1162768049</v>
      </c>
      <c r="C564" s="2" t="s">
        <v>411</v>
      </c>
      <c r="D564" s="2">
        <v>1</v>
      </c>
      <c r="E564" s="2" t="str">
        <f>"2170755278"</f>
        <v>2170755278</v>
      </c>
      <c r="F564" s="2" t="s">
        <v>17</v>
      </c>
      <c r="G564" s="2" t="s">
        <v>18</v>
      </c>
      <c r="H564" s="2" t="s">
        <v>18</v>
      </c>
      <c r="I564" s="2" t="s">
        <v>46</v>
      </c>
      <c r="J564" s="2" t="s">
        <v>426</v>
      </c>
      <c r="K564" s="2" t="s">
        <v>510</v>
      </c>
      <c r="L564" s="3">
        <v>0.43541666666666662</v>
      </c>
      <c r="M564" s="2" t="s">
        <v>531</v>
      </c>
      <c r="N564" s="2" t="s">
        <v>500</v>
      </c>
      <c r="O564" s="2"/>
    </row>
    <row r="565" spans="1:15" x14ac:dyDescent="0.25">
      <c r="A565" s="2" t="s">
        <v>15</v>
      </c>
      <c r="B565" s="2" t="str">
        <f>"FES1162768091"</f>
        <v>FES1162768091</v>
      </c>
      <c r="C565" s="2" t="s">
        <v>411</v>
      </c>
      <c r="D565" s="2">
        <v>1</v>
      </c>
      <c r="E565" s="2" t="str">
        <f>"2170751370"</f>
        <v>2170751370</v>
      </c>
      <c r="F565" s="2" t="s">
        <v>17</v>
      </c>
      <c r="G565" s="2" t="s">
        <v>18</v>
      </c>
      <c r="H565" s="2" t="s">
        <v>18</v>
      </c>
      <c r="I565" s="2" t="s">
        <v>50</v>
      </c>
      <c r="J565" s="2" t="s">
        <v>641</v>
      </c>
      <c r="K565" s="2" t="s">
        <v>510</v>
      </c>
      <c r="L565" s="3">
        <v>0.375</v>
      </c>
      <c r="M565" s="2" t="s">
        <v>711</v>
      </c>
      <c r="N565" s="2" t="s">
        <v>500</v>
      </c>
      <c r="O565" s="2"/>
    </row>
    <row r="566" spans="1:15" x14ac:dyDescent="0.25">
      <c r="A566" s="2" t="s">
        <v>15</v>
      </c>
      <c r="B566" s="2" t="str">
        <f>"FES1162768058"</f>
        <v>FES1162768058</v>
      </c>
      <c r="C566" s="2" t="s">
        <v>411</v>
      </c>
      <c r="D566" s="2">
        <v>1</v>
      </c>
      <c r="E566" s="2" t="str">
        <f>"2170755694"</f>
        <v>2170755694</v>
      </c>
      <c r="F566" s="2" t="s">
        <v>17</v>
      </c>
      <c r="G566" s="2" t="s">
        <v>18</v>
      </c>
      <c r="H566" s="2" t="s">
        <v>18</v>
      </c>
      <c r="I566" s="2" t="s">
        <v>50</v>
      </c>
      <c r="J566" s="2" t="s">
        <v>285</v>
      </c>
      <c r="K566" s="2" t="s">
        <v>698</v>
      </c>
      <c r="L566" s="3">
        <v>0.40763888888888888</v>
      </c>
      <c r="M566" s="2" t="s">
        <v>808</v>
      </c>
      <c r="N566" s="2" t="s">
        <v>500</v>
      </c>
      <c r="O566" s="2"/>
    </row>
    <row r="567" spans="1:15" x14ac:dyDescent="0.25">
      <c r="A567" s="2" t="s">
        <v>15</v>
      </c>
      <c r="B567" s="2" t="str">
        <f>"FES1162768061"</f>
        <v>FES1162768061</v>
      </c>
      <c r="C567" s="2" t="s">
        <v>411</v>
      </c>
      <c r="D567" s="2">
        <v>1</v>
      </c>
      <c r="E567" s="2" t="str">
        <f>"2170755879"</f>
        <v>2170755879</v>
      </c>
      <c r="F567" s="2" t="s">
        <v>17</v>
      </c>
      <c r="G567" s="2" t="s">
        <v>18</v>
      </c>
      <c r="H567" s="2" t="s">
        <v>18</v>
      </c>
      <c r="I567" s="2" t="s">
        <v>116</v>
      </c>
      <c r="J567" s="2" t="s">
        <v>642</v>
      </c>
      <c r="K567" s="2" t="s">
        <v>510</v>
      </c>
      <c r="L567" s="3">
        <v>0.46597222222222223</v>
      </c>
      <c r="M567" s="2" t="s">
        <v>712</v>
      </c>
      <c r="N567" s="2" t="s">
        <v>500</v>
      </c>
      <c r="O567" s="2"/>
    </row>
    <row r="568" spans="1:15" x14ac:dyDescent="0.25">
      <c r="A568" s="2" t="s">
        <v>15</v>
      </c>
      <c r="B568" s="2" t="str">
        <f>"FES1162767286"</f>
        <v>FES1162767286</v>
      </c>
      <c r="C568" s="2" t="s">
        <v>411</v>
      </c>
      <c r="D568" s="2">
        <v>1</v>
      </c>
      <c r="E568" s="2" t="str">
        <f>"2170755279"</f>
        <v>2170755279</v>
      </c>
      <c r="F568" s="2" t="s">
        <v>17</v>
      </c>
      <c r="G568" s="2" t="s">
        <v>18</v>
      </c>
      <c r="H568" s="2" t="s">
        <v>18</v>
      </c>
      <c r="I568" s="2" t="s">
        <v>52</v>
      </c>
      <c r="J568" s="2" t="s">
        <v>643</v>
      </c>
      <c r="K568" s="2" t="s">
        <v>510</v>
      </c>
      <c r="L568" s="3">
        <v>0.40277777777777773</v>
      </c>
      <c r="M568" s="2" t="s">
        <v>713</v>
      </c>
      <c r="N568" s="2" t="s">
        <v>500</v>
      </c>
      <c r="O568" s="2"/>
    </row>
    <row r="569" spans="1:15" x14ac:dyDescent="0.25">
      <c r="A569" s="2" t="s">
        <v>15</v>
      </c>
      <c r="B569" s="2" t="str">
        <f>"FES1162768092"</f>
        <v>FES1162768092</v>
      </c>
      <c r="C569" s="2" t="s">
        <v>411</v>
      </c>
      <c r="D569" s="2">
        <v>1</v>
      </c>
      <c r="E569" s="2" t="str">
        <f>"2170751492"</f>
        <v>2170751492</v>
      </c>
      <c r="F569" s="2" t="s">
        <v>17</v>
      </c>
      <c r="G569" s="2" t="s">
        <v>18</v>
      </c>
      <c r="H569" s="2" t="s">
        <v>19</v>
      </c>
      <c r="I569" s="2" t="s">
        <v>111</v>
      </c>
      <c r="J569" s="2" t="s">
        <v>405</v>
      </c>
      <c r="K569" s="2" t="s">
        <v>510</v>
      </c>
      <c r="L569" s="3">
        <v>0.35833333333333334</v>
      </c>
      <c r="M569" s="2" t="s">
        <v>714</v>
      </c>
      <c r="N569" s="2" t="s">
        <v>500</v>
      </c>
      <c r="O569" s="2"/>
    </row>
    <row r="570" spans="1:15" x14ac:dyDescent="0.25">
      <c r="A570" s="2" t="s">
        <v>15</v>
      </c>
      <c r="B570" s="2" t="str">
        <f>"FES1162768140"</f>
        <v>FES1162768140</v>
      </c>
      <c r="C570" s="2" t="s">
        <v>411</v>
      </c>
      <c r="D570" s="2">
        <v>1</v>
      </c>
      <c r="E570" s="2" t="str">
        <f>"2170752985"</f>
        <v>2170752985</v>
      </c>
      <c r="F570" s="2" t="s">
        <v>17</v>
      </c>
      <c r="G570" s="2" t="s">
        <v>18</v>
      </c>
      <c r="H570" s="2" t="s">
        <v>19</v>
      </c>
      <c r="I570" s="2" t="s">
        <v>20</v>
      </c>
      <c r="J570" s="2" t="s">
        <v>77</v>
      </c>
      <c r="K570" s="2" t="s">
        <v>510</v>
      </c>
      <c r="L570" s="3">
        <v>0.3611111111111111</v>
      </c>
      <c r="M570" s="2" t="s">
        <v>198</v>
      </c>
      <c r="N570" s="2" t="s">
        <v>500</v>
      </c>
      <c r="O570" s="2"/>
    </row>
    <row r="571" spans="1:15" x14ac:dyDescent="0.25">
      <c r="A571" s="2" t="s">
        <v>15</v>
      </c>
      <c r="B571" s="2" t="str">
        <f>"FES1162768144"</f>
        <v>FES1162768144</v>
      </c>
      <c r="C571" s="2" t="s">
        <v>411</v>
      </c>
      <c r="D571" s="2">
        <v>2</v>
      </c>
      <c r="E571" s="2" t="str">
        <f>"2170755765"</f>
        <v>2170755765</v>
      </c>
      <c r="F571" s="2" t="s">
        <v>17</v>
      </c>
      <c r="G571" s="2" t="s">
        <v>18</v>
      </c>
      <c r="H571" s="2" t="s">
        <v>18</v>
      </c>
      <c r="I571" s="2" t="s">
        <v>329</v>
      </c>
      <c r="J571" s="2" t="s">
        <v>644</v>
      </c>
      <c r="K571" s="2" t="s">
        <v>510</v>
      </c>
      <c r="L571" s="3">
        <v>0.5</v>
      </c>
      <c r="M571" s="2" t="s">
        <v>563</v>
      </c>
      <c r="N571" s="2" t="s">
        <v>500</v>
      </c>
      <c r="O571" s="2"/>
    </row>
    <row r="572" spans="1:15" x14ac:dyDescent="0.25">
      <c r="A572" s="2" t="s">
        <v>15</v>
      </c>
      <c r="B572" s="2" t="str">
        <f>"FES1162768026"</f>
        <v>FES1162768026</v>
      </c>
      <c r="C572" s="2" t="s">
        <v>411</v>
      </c>
      <c r="D572" s="2">
        <v>1</v>
      </c>
      <c r="E572" s="2" t="str">
        <f>"2170753076"</f>
        <v>2170753076</v>
      </c>
      <c r="F572" s="2" t="s">
        <v>205</v>
      </c>
      <c r="G572" s="2" t="s">
        <v>206</v>
      </c>
      <c r="H572" s="2" t="s">
        <v>206</v>
      </c>
      <c r="I572" s="2" t="s">
        <v>494</v>
      </c>
      <c r="J572" s="2" t="s">
        <v>495</v>
      </c>
      <c r="K572" s="2" t="s">
        <v>510</v>
      </c>
      <c r="L572" s="3">
        <v>0.47916666666666669</v>
      </c>
      <c r="M572" s="2" t="s">
        <v>599</v>
      </c>
      <c r="N572" s="2" t="s">
        <v>500</v>
      </c>
      <c r="O572" s="2"/>
    </row>
    <row r="573" spans="1:15" x14ac:dyDescent="0.25">
      <c r="A573" s="2" t="s">
        <v>15</v>
      </c>
      <c r="B573" s="2" t="str">
        <f>"FES1162768133"</f>
        <v>FES1162768133</v>
      </c>
      <c r="C573" s="2" t="s">
        <v>411</v>
      </c>
      <c r="D573" s="2">
        <v>1</v>
      </c>
      <c r="E573" s="2" t="str">
        <f>"2170753271"</f>
        <v>2170753271</v>
      </c>
      <c r="F573" s="2" t="s">
        <v>17</v>
      </c>
      <c r="G573" s="2" t="s">
        <v>18</v>
      </c>
      <c r="H573" s="2" t="s">
        <v>36</v>
      </c>
      <c r="I573" s="2" t="s">
        <v>37</v>
      </c>
      <c r="J573" s="2" t="s">
        <v>162</v>
      </c>
      <c r="K573" s="2" t="s">
        <v>510</v>
      </c>
      <c r="L573" s="3">
        <v>0.34027777777777773</v>
      </c>
      <c r="M573" s="2" t="s">
        <v>268</v>
      </c>
      <c r="N573" s="2" t="s">
        <v>500</v>
      </c>
      <c r="O573" s="2"/>
    </row>
    <row r="574" spans="1:15" x14ac:dyDescent="0.25">
      <c r="A574" s="2" t="s">
        <v>15</v>
      </c>
      <c r="B574" s="2" t="str">
        <f>"FES1162768146"</f>
        <v>FES1162768146</v>
      </c>
      <c r="C574" s="2" t="s">
        <v>411</v>
      </c>
      <c r="D574" s="2">
        <v>1</v>
      </c>
      <c r="E574" s="2" t="str">
        <f>"2170756021"</f>
        <v>2170756021</v>
      </c>
      <c r="F574" s="2" t="s">
        <v>17</v>
      </c>
      <c r="G574" s="2" t="s">
        <v>18</v>
      </c>
      <c r="H574" s="2" t="s">
        <v>18</v>
      </c>
      <c r="I574" s="2" t="s">
        <v>478</v>
      </c>
      <c r="J574" s="2" t="s">
        <v>645</v>
      </c>
      <c r="K574" s="2" t="s">
        <v>698</v>
      </c>
      <c r="L574" s="3">
        <v>0.36944444444444446</v>
      </c>
      <c r="M574" s="2" t="s">
        <v>809</v>
      </c>
      <c r="N574" s="2" t="s">
        <v>500</v>
      </c>
      <c r="O574" s="2"/>
    </row>
    <row r="575" spans="1:15" x14ac:dyDescent="0.25">
      <c r="A575" s="2" t="s">
        <v>15</v>
      </c>
      <c r="B575" s="2" t="str">
        <f>"FES1162768123"</f>
        <v>FES1162768123</v>
      </c>
      <c r="C575" s="2" t="s">
        <v>411</v>
      </c>
      <c r="D575" s="2">
        <v>1</v>
      </c>
      <c r="E575" s="2" t="str">
        <f>"2170753052"</f>
        <v>2170753052</v>
      </c>
      <c r="F575" s="2" t="s">
        <v>17</v>
      </c>
      <c r="G575" s="2" t="s">
        <v>18</v>
      </c>
      <c r="H575" s="2" t="s">
        <v>36</v>
      </c>
      <c r="I575" s="2" t="s">
        <v>37</v>
      </c>
      <c r="J575" s="2" t="s">
        <v>646</v>
      </c>
      <c r="K575" s="2" t="s">
        <v>510</v>
      </c>
      <c r="L575" s="3">
        <v>0.38819444444444445</v>
      </c>
      <c r="M575" s="2" t="s">
        <v>700</v>
      </c>
      <c r="N575" s="2" t="s">
        <v>500</v>
      </c>
      <c r="O575" s="2"/>
    </row>
    <row r="576" spans="1:15" x14ac:dyDescent="0.25">
      <c r="A576" s="2" t="s">
        <v>15</v>
      </c>
      <c r="B576" s="2" t="str">
        <f>"FES1162768215"</f>
        <v>FES1162768215</v>
      </c>
      <c r="C576" s="2" t="s">
        <v>411</v>
      </c>
      <c r="D576" s="2">
        <v>1</v>
      </c>
      <c r="E576" s="2" t="str">
        <f>"2170756100"</f>
        <v>2170756100</v>
      </c>
      <c r="F576" s="2" t="s">
        <v>17</v>
      </c>
      <c r="G576" s="2" t="s">
        <v>18</v>
      </c>
      <c r="H576" s="2" t="s">
        <v>33</v>
      </c>
      <c r="I576" s="2" t="s">
        <v>34</v>
      </c>
      <c r="J576" s="2" t="s">
        <v>647</v>
      </c>
      <c r="K576" s="2" t="s">
        <v>510</v>
      </c>
      <c r="L576" s="3">
        <v>0.43333333333333335</v>
      </c>
      <c r="M576" s="2" t="s">
        <v>715</v>
      </c>
      <c r="N576" s="2" t="s">
        <v>500</v>
      </c>
      <c r="O576" s="2"/>
    </row>
    <row r="577" spans="1:15" x14ac:dyDescent="0.25">
      <c r="A577" s="2" t="s">
        <v>15</v>
      </c>
      <c r="B577" s="2" t="str">
        <f>"FES1162768213"</f>
        <v>FES1162768213</v>
      </c>
      <c r="C577" s="2" t="s">
        <v>411</v>
      </c>
      <c r="D577" s="2">
        <v>1</v>
      </c>
      <c r="E577" s="2" t="str">
        <f>"2170755871"</f>
        <v>2170755871</v>
      </c>
      <c r="F577" s="2" t="s">
        <v>17</v>
      </c>
      <c r="G577" s="2" t="s">
        <v>18</v>
      </c>
      <c r="H577" s="2" t="s">
        <v>25</v>
      </c>
      <c r="I577" s="2" t="s">
        <v>125</v>
      </c>
      <c r="J577" s="2" t="s">
        <v>126</v>
      </c>
      <c r="K577" s="2" t="s">
        <v>510</v>
      </c>
      <c r="L577" s="3">
        <v>0.40902777777777777</v>
      </c>
      <c r="M577" s="2" t="s">
        <v>388</v>
      </c>
      <c r="N577" s="2" t="s">
        <v>500</v>
      </c>
      <c r="O577" s="2"/>
    </row>
    <row r="578" spans="1:15" x14ac:dyDescent="0.25">
      <c r="A578" s="2" t="s">
        <v>15</v>
      </c>
      <c r="B578" s="2" t="str">
        <f>"FES1162768028"</f>
        <v>FES1162768028</v>
      </c>
      <c r="C578" s="2" t="s">
        <v>411</v>
      </c>
      <c r="D578" s="2">
        <v>1</v>
      </c>
      <c r="E578" s="2" t="str">
        <f>"2170753207"</f>
        <v>2170753207</v>
      </c>
      <c r="F578" s="2" t="s">
        <v>17</v>
      </c>
      <c r="G578" s="2" t="s">
        <v>18</v>
      </c>
      <c r="H578" s="2" t="s">
        <v>36</v>
      </c>
      <c r="I578" s="2" t="s">
        <v>37</v>
      </c>
      <c r="J578" s="2" t="s">
        <v>162</v>
      </c>
      <c r="K578" s="2" t="s">
        <v>510</v>
      </c>
      <c r="L578" s="3">
        <v>0.34027777777777773</v>
      </c>
      <c r="M578" s="2" t="s">
        <v>268</v>
      </c>
      <c r="N578" s="2" t="s">
        <v>500</v>
      </c>
      <c r="O578" s="2"/>
    </row>
    <row r="579" spans="1:15" x14ac:dyDescent="0.25">
      <c r="A579" s="2" t="s">
        <v>15</v>
      </c>
      <c r="B579" s="2" t="str">
        <f>"FES1162768032"</f>
        <v>FES1162768032</v>
      </c>
      <c r="C579" s="2" t="s">
        <v>411</v>
      </c>
      <c r="D579" s="2">
        <v>1</v>
      </c>
      <c r="E579" s="2" t="str">
        <f>"2170753292"</f>
        <v>2170753292</v>
      </c>
      <c r="F579" s="2" t="s">
        <v>17</v>
      </c>
      <c r="G579" s="2" t="s">
        <v>18</v>
      </c>
      <c r="H579" s="2" t="s">
        <v>36</v>
      </c>
      <c r="I579" s="2" t="s">
        <v>37</v>
      </c>
      <c r="J579" s="2" t="s">
        <v>162</v>
      </c>
      <c r="K579" s="2" t="s">
        <v>510</v>
      </c>
      <c r="L579" s="3">
        <v>0.34027777777777773</v>
      </c>
      <c r="M579" s="2" t="s">
        <v>268</v>
      </c>
      <c r="N579" s="2" t="s">
        <v>500</v>
      </c>
      <c r="O579" s="2"/>
    </row>
    <row r="580" spans="1:15" x14ac:dyDescent="0.25">
      <c r="A580" s="2" t="s">
        <v>15</v>
      </c>
      <c r="B580" s="2" t="str">
        <f>"FES1162768023"</f>
        <v>FES1162768023</v>
      </c>
      <c r="C580" s="2" t="s">
        <v>411</v>
      </c>
      <c r="D580" s="2">
        <v>1</v>
      </c>
      <c r="E580" s="2" t="str">
        <f>"2170752636"</f>
        <v>2170752636</v>
      </c>
      <c r="F580" s="2" t="s">
        <v>17</v>
      </c>
      <c r="G580" s="2" t="s">
        <v>18</v>
      </c>
      <c r="H580" s="2" t="s">
        <v>36</v>
      </c>
      <c r="I580" s="2" t="s">
        <v>37</v>
      </c>
      <c r="J580" s="2" t="s">
        <v>162</v>
      </c>
      <c r="K580" s="2" t="s">
        <v>510</v>
      </c>
      <c r="L580" s="3">
        <v>0.47152777777777777</v>
      </c>
      <c r="M580" s="2" t="s">
        <v>268</v>
      </c>
      <c r="N580" s="2" t="s">
        <v>500</v>
      </c>
      <c r="O580" s="2"/>
    </row>
    <row r="581" spans="1:15" x14ac:dyDescent="0.25">
      <c r="A581" s="2" t="s">
        <v>15</v>
      </c>
      <c r="B581" s="2" t="str">
        <f>"FES1162768031"</f>
        <v>FES1162768031</v>
      </c>
      <c r="C581" s="2" t="s">
        <v>411</v>
      </c>
      <c r="D581" s="2">
        <v>1</v>
      </c>
      <c r="E581" s="2" t="str">
        <f>"2170753212"</f>
        <v>2170753212</v>
      </c>
      <c r="F581" s="2" t="s">
        <v>17</v>
      </c>
      <c r="G581" s="2" t="s">
        <v>18</v>
      </c>
      <c r="H581" s="2" t="s">
        <v>36</v>
      </c>
      <c r="I581" s="2" t="s">
        <v>37</v>
      </c>
      <c r="J581" s="2" t="s">
        <v>162</v>
      </c>
      <c r="K581" s="2" t="s">
        <v>510</v>
      </c>
      <c r="L581" s="3">
        <v>0.34027777777777773</v>
      </c>
      <c r="M581" s="2" t="s">
        <v>268</v>
      </c>
      <c r="N581" s="2" t="s">
        <v>500</v>
      </c>
      <c r="O581" s="2"/>
    </row>
    <row r="582" spans="1:15" x14ac:dyDescent="0.25">
      <c r="A582" s="2" t="s">
        <v>15</v>
      </c>
      <c r="B582" s="2" t="str">
        <f>"FES1162768048"</f>
        <v>FES1162768048</v>
      </c>
      <c r="C582" s="2" t="s">
        <v>411</v>
      </c>
      <c r="D582" s="2">
        <v>1</v>
      </c>
      <c r="E582" s="2" t="str">
        <f>"2170755168"</f>
        <v>2170755168</v>
      </c>
      <c r="F582" s="2" t="s">
        <v>17</v>
      </c>
      <c r="G582" s="2" t="s">
        <v>18</v>
      </c>
      <c r="H582" s="2" t="s">
        <v>33</v>
      </c>
      <c r="I582" s="2" t="s">
        <v>34</v>
      </c>
      <c r="J582" s="2" t="s">
        <v>317</v>
      </c>
      <c r="K582" s="2" t="s">
        <v>510</v>
      </c>
      <c r="L582" s="3">
        <v>0.39374999999999999</v>
      </c>
      <c r="M582" s="2" t="s">
        <v>716</v>
      </c>
      <c r="N582" s="2" t="s">
        <v>500</v>
      </c>
      <c r="O582" s="2"/>
    </row>
    <row r="583" spans="1:15" x14ac:dyDescent="0.25">
      <c r="A583" s="2" t="s">
        <v>15</v>
      </c>
      <c r="B583" s="2" t="str">
        <f>"FES1162768017"</f>
        <v>FES1162768017</v>
      </c>
      <c r="C583" s="2" t="s">
        <v>411</v>
      </c>
      <c r="D583" s="2">
        <v>1</v>
      </c>
      <c r="E583" s="2" t="str">
        <f>"2170752458"</f>
        <v>2170752458</v>
      </c>
      <c r="F583" s="2" t="s">
        <v>17</v>
      </c>
      <c r="G583" s="2" t="s">
        <v>18</v>
      </c>
      <c r="H583" s="2" t="s">
        <v>33</v>
      </c>
      <c r="I583" s="2" t="s">
        <v>648</v>
      </c>
      <c r="J583" s="2" t="s">
        <v>649</v>
      </c>
      <c r="K583" s="2" t="s">
        <v>698</v>
      </c>
      <c r="L583" s="3">
        <v>0.41666666666666669</v>
      </c>
      <c r="M583" s="2" t="s">
        <v>563</v>
      </c>
      <c r="N583" s="2" t="s">
        <v>500</v>
      </c>
      <c r="O583" s="2"/>
    </row>
    <row r="584" spans="1:15" x14ac:dyDescent="0.25">
      <c r="A584" s="2" t="s">
        <v>15</v>
      </c>
      <c r="B584" s="2" t="str">
        <f>"FES1162768154"</f>
        <v>FES1162768154</v>
      </c>
      <c r="C584" s="2" t="s">
        <v>411</v>
      </c>
      <c r="D584" s="2">
        <v>1</v>
      </c>
      <c r="E584" s="2" t="str">
        <f>"2170754638"</f>
        <v>2170754638</v>
      </c>
      <c r="F584" s="2" t="s">
        <v>17</v>
      </c>
      <c r="G584" s="2" t="s">
        <v>18</v>
      </c>
      <c r="H584" s="2" t="s">
        <v>88</v>
      </c>
      <c r="I584" s="2" t="s">
        <v>109</v>
      </c>
      <c r="J584" s="2" t="s">
        <v>395</v>
      </c>
      <c r="K584" s="2" t="s">
        <v>510</v>
      </c>
      <c r="L584" s="3">
        <v>0.4236111111111111</v>
      </c>
      <c r="M584" s="2" t="s">
        <v>694</v>
      </c>
      <c r="N584" s="2" t="s">
        <v>500</v>
      </c>
      <c r="O584" s="2"/>
    </row>
    <row r="585" spans="1:15" x14ac:dyDescent="0.25">
      <c r="A585" s="2" t="s">
        <v>15</v>
      </c>
      <c r="B585" s="2" t="str">
        <f>"FES1162768045"</f>
        <v>FES1162768045</v>
      </c>
      <c r="C585" s="2" t="s">
        <v>411</v>
      </c>
      <c r="D585" s="2">
        <v>1</v>
      </c>
      <c r="E585" s="2" t="str">
        <f>"2170755106"</f>
        <v>2170755106</v>
      </c>
      <c r="F585" s="2" t="s">
        <v>17</v>
      </c>
      <c r="G585" s="2" t="s">
        <v>18</v>
      </c>
      <c r="H585" s="2" t="s">
        <v>36</v>
      </c>
      <c r="I585" s="2" t="s">
        <v>37</v>
      </c>
      <c r="J585" s="2" t="s">
        <v>376</v>
      </c>
      <c r="K585" s="2" t="s">
        <v>510</v>
      </c>
      <c r="L585" s="3">
        <v>0.41319444444444442</v>
      </c>
      <c r="M585" s="2" t="s">
        <v>717</v>
      </c>
      <c r="N585" s="2" t="s">
        <v>500</v>
      </c>
      <c r="O585" s="2"/>
    </row>
    <row r="586" spans="1:15" x14ac:dyDescent="0.25">
      <c r="A586" s="2" t="s">
        <v>15</v>
      </c>
      <c r="B586" s="2" t="str">
        <f>"FES1162768195"</f>
        <v>FES1162768195</v>
      </c>
      <c r="C586" s="2" t="s">
        <v>411</v>
      </c>
      <c r="D586" s="2">
        <v>1</v>
      </c>
      <c r="E586" s="2" t="str">
        <f>"2170756080"</f>
        <v>2170756080</v>
      </c>
      <c r="F586" s="2" t="s">
        <v>17</v>
      </c>
      <c r="G586" s="2" t="s">
        <v>18</v>
      </c>
      <c r="H586" s="2" t="s">
        <v>19</v>
      </c>
      <c r="I586" s="2" t="s">
        <v>111</v>
      </c>
      <c r="J586" s="2" t="s">
        <v>464</v>
      </c>
      <c r="K586" s="2" t="s">
        <v>510</v>
      </c>
      <c r="L586" s="3">
        <v>0.43541666666666662</v>
      </c>
      <c r="M586" s="2" t="s">
        <v>718</v>
      </c>
      <c r="N586" s="2" t="s">
        <v>500</v>
      </c>
      <c r="O586" s="2"/>
    </row>
    <row r="587" spans="1:15" x14ac:dyDescent="0.25">
      <c r="A587" s="2" t="s">
        <v>15</v>
      </c>
      <c r="B587" s="2" t="str">
        <f>"FES1162768066"</f>
        <v>FES1162768066</v>
      </c>
      <c r="C587" s="2" t="s">
        <v>411</v>
      </c>
      <c r="D587" s="2">
        <v>1</v>
      </c>
      <c r="E587" s="2" t="str">
        <f>"2170755959"</f>
        <v>2170755959</v>
      </c>
      <c r="F587" s="2" t="s">
        <v>17</v>
      </c>
      <c r="G587" s="2" t="s">
        <v>18</v>
      </c>
      <c r="H587" s="2" t="s">
        <v>36</v>
      </c>
      <c r="I587" s="2" t="s">
        <v>37</v>
      </c>
      <c r="J587" s="2" t="s">
        <v>279</v>
      </c>
      <c r="K587" s="2" t="s">
        <v>510</v>
      </c>
      <c r="L587" s="3">
        <v>0.40277777777777773</v>
      </c>
      <c r="M587" s="2" t="s">
        <v>719</v>
      </c>
      <c r="N587" s="2" t="s">
        <v>500</v>
      </c>
      <c r="O587" s="2"/>
    </row>
    <row r="588" spans="1:15" x14ac:dyDescent="0.25">
      <c r="A588" s="2" t="s">
        <v>15</v>
      </c>
      <c r="B588" s="2" t="str">
        <f>"FES1162768068"</f>
        <v>FES1162768068</v>
      </c>
      <c r="C588" s="2" t="s">
        <v>411</v>
      </c>
      <c r="D588" s="2">
        <v>1</v>
      </c>
      <c r="E588" s="2" t="str">
        <f>"2170755962"</f>
        <v>2170755962</v>
      </c>
      <c r="F588" s="2" t="s">
        <v>17</v>
      </c>
      <c r="G588" s="2" t="s">
        <v>18</v>
      </c>
      <c r="H588" s="2" t="s">
        <v>36</v>
      </c>
      <c r="I588" s="2" t="s">
        <v>67</v>
      </c>
      <c r="J588" s="2" t="s">
        <v>650</v>
      </c>
      <c r="K588" s="2" t="s">
        <v>510</v>
      </c>
      <c r="L588" s="3">
        <v>0.3888888888888889</v>
      </c>
      <c r="M588" s="2" t="s">
        <v>720</v>
      </c>
      <c r="N588" s="2" t="s">
        <v>500</v>
      </c>
      <c r="O588" s="2"/>
    </row>
    <row r="589" spans="1:15" x14ac:dyDescent="0.25">
      <c r="A589" s="2" t="s">
        <v>15</v>
      </c>
      <c r="B589" s="2" t="str">
        <f>"FES1162768171"</f>
        <v>FES1162768171</v>
      </c>
      <c r="C589" s="2" t="s">
        <v>411</v>
      </c>
      <c r="D589" s="2">
        <v>1</v>
      </c>
      <c r="E589" s="2" t="str">
        <f>"2170756057"</f>
        <v>2170756057</v>
      </c>
      <c r="F589" s="2" t="s">
        <v>17</v>
      </c>
      <c r="G589" s="2" t="s">
        <v>18</v>
      </c>
      <c r="H589" s="2" t="s">
        <v>19</v>
      </c>
      <c r="I589" s="2" t="s">
        <v>111</v>
      </c>
      <c r="J589" s="2" t="s">
        <v>143</v>
      </c>
      <c r="K589" s="2" t="s">
        <v>510</v>
      </c>
      <c r="L589" s="3">
        <v>0.33055555555555555</v>
      </c>
      <c r="M589" s="2" t="s">
        <v>144</v>
      </c>
      <c r="N589" s="2" t="s">
        <v>500</v>
      </c>
      <c r="O589" s="2"/>
    </row>
    <row r="590" spans="1:15" x14ac:dyDescent="0.25">
      <c r="A590" s="2" t="s">
        <v>15</v>
      </c>
      <c r="B590" s="2" t="str">
        <f>"FES1162768212"</f>
        <v>FES1162768212</v>
      </c>
      <c r="C590" s="2" t="s">
        <v>411</v>
      </c>
      <c r="D590" s="2">
        <v>1</v>
      </c>
      <c r="E590" s="2" t="str">
        <f>"2170755866"</f>
        <v>2170755866</v>
      </c>
      <c r="F590" s="2" t="s">
        <v>17</v>
      </c>
      <c r="G590" s="2" t="s">
        <v>18</v>
      </c>
      <c r="H590" s="2" t="s">
        <v>30</v>
      </c>
      <c r="I590" s="2" t="s">
        <v>147</v>
      </c>
      <c r="J590" s="2" t="s">
        <v>148</v>
      </c>
      <c r="K590" s="2" t="s">
        <v>510</v>
      </c>
      <c r="L590" s="3">
        <v>0.43124999999999997</v>
      </c>
      <c r="M590" s="2" t="s">
        <v>721</v>
      </c>
      <c r="N590" s="2" t="s">
        <v>500</v>
      </c>
      <c r="O590" s="2"/>
    </row>
    <row r="591" spans="1:15" x14ac:dyDescent="0.25">
      <c r="A591" s="2" t="s">
        <v>15</v>
      </c>
      <c r="B591" s="2" t="str">
        <f>"FES1162768217"</f>
        <v>FES1162768217</v>
      </c>
      <c r="C591" s="2" t="s">
        <v>411</v>
      </c>
      <c r="D591" s="2">
        <v>1</v>
      </c>
      <c r="E591" s="2" t="str">
        <f>"2170756102"</f>
        <v>2170756102</v>
      </c>
      <c r="F591" s="2" t="s">
        <v>17</v>
      </c>
      <c r="G591" s="2" t="s">
        <v>18</v>
      </c>
      <c r="H591" s="2" t="s">
        <v>25</v>
      </c>
      <c r="I591" s="2" t="s">
        <v>42</v>
      </c>
      <c r="J591" s="2" t="s">
        <v>651</v>
      </c>
      <c r="K591" s="2" t="s">
        <v>510</v>
      </c>
      <c r="L591" s="3">
        <v>0.50069444444444444</v>
      </c>
      <c r="M591" s="2" t="s">
        <v>722</v>
      </c>
      <c r="N591" s="2" t="s">
        <v>500</v>
      </c>
      <c r="O591" s="2"/>
    </row>
    <row r="592" spans="1:15" x14ac:dyDescent="0.25">
      <c r="A592" s="2" t="s">
        <v>15</v>
      </c>
      <c r="B592" s="2" t="str">
        <f>"FES1162768216"</f>
        <v>FES1162768216</v>
      </c>
      <c r="C592" s="2" t="s">
        <v>411</v>
      </c>
      <c r="D592" s="2">
        <v>1</v>
      </c>
      <c r="E592" s="2" t="str">
        <f>"21707076101"</f>
        <v>21707076101</v>
      </c>
      <c r="F592" s="2" t="s">
        <v>17</v>
      </c>
      <c r="G592" s="2" t="s">
        <v>18</v>
      </c>
      <c r="H592" s="2" t="s">
        <v>30</v>
      </c>
      <c r="I592" s="2" t="s">
        <v>147</v>
      </c>
      <c r="J592" s="2" t="s">
        <v>148</v>
      </c>
      <c r="K592" s="2" t="s">
        <v>510</v>
      </c>
      <c r="L592" s="3">
        <v>0.43124999999999997</v>
      </c>
      <c r="M592" s="2" t="s">
        <v>721</v>
      </c>
      <c r="N592" s="2" t="s">
        <v>500</v>
      </c>
      <c r="O592" s="2"/>
    </row>
    <row r="593" spans="1:15" x14ac:dyDescent="0.25">
      <c r="A593" s="2" t="s">
        <v>15</v>
      </c>
      <c r="B593" s="2" t="str">
        <f>"FES1162768205"</f>
        <v>FES1162768205</v>
      </c>
      <c r="C593" s="2" t="s">
        <v>411</v>
      </c>
      <c r="D593" s="2">
        <v>1</v>
      </c>
      <c r="E593" s="2" t="str">
        <f>"2170756094"</f>
        <v>2170756094</v>
      </c>
      <c r="F593" s="2" t="s">
        <v>17</v>
      </c>
      <c r="G593" s="2" t="s">
        <v>18</v>
      </c>
      <c r="H593" s="2" t="s">
        <v>25</v>
      </c>
      <c r="I593" s="2" t="s">
        <v>42</v>
      </c>
      <c r="J593" s="2" t="s">
        <v>416</v>
      </c>
      <c r="K593" s="2" t="s">
        <v>510</v>
      </c>
      <c r="L593" s="3">
        <v>0.50347222222222221</v>
      </c>
      <c r="M593" s="2" t="s">
        <v>688</v>
      </c>
      <c r="N593" s="2" t="s">
        <v>500</v>
      </c>
      <c r="O593" s="2"/>
    </row>
    <row r="594" spans="1:15" x14ac:dyDescent="0.25">
      <c r="A594" s="2" t="s">
        <v>15</v>
      </c>
      <c r="B594" s="2" t="str">
        <f>"FES1162768156"</f>
        <v>FES1162768156</v>
      </c>
      <c r="C594" s="2" t="s">
        <v>411</v>
      </c>
      <c r="D594" s="2">
        <v>1</v>
      </c>
      <c r="E594" s="2" t="str">
        <f>"21707560330"</f>
        <v>21707560330</v>
      </c>
      <c r="F594" s="2" t="s">
        <v>17</v>
      </c>
      <c r="G594" s="2" t="s">
        <v>18</v>
      </c>
      <c r="H594" s="2" t="s">
        <v>19</v>
      </c>
      <c r="I594" s="2" t="s">
        <v>111</v>
      </c>
      <c r="J594" s="2" t="s">
        <v>652</v>
      </c>
      <c r="K594" s="2" t="s">
        <v>510</v>
      </c>
      <c r="L594" s="3">
        <v>0.42222222222222222</v>
      </c>
      <c r="M594" s="2" t="s">
        <v>723</v>
      </c>
      <c r="N594" s="2" t="s">
        <v>500</v>
      </c>
      <c r="O594" s="2"/>
    </row>
    <row r="595" spans="1:15" x14ac:dyDescent="0.25">
      <c r="A595" s="2" t="s">
        <v>15</v>
      </c>
      <c r="B595" s="2" t="str">
        <f>"FES1162768172"</f>
        <v>FES1162768172</v>
      </c>
      <c r="C595" s="2" t="s">
        <v>411</v>
      </c>
      <c r="D595" s="2">
        <v>1</v>
      </c>
      <c r="E595" s="2" t="str">
        <f>"2170756059"</f>
        <v>2170756059</v>
      </c>
      <c r="F595" s="2" t="s">
        <v>17</v>
      </c>
      <c r="G595" s="2" t="s">
        <v>18</v>
      </c>
      <c r="H595" s="2" t="s">
        <v>484</v>
      </c>
      <c r="I595" s="2" t="s">
        <v>485</v>
      </c>
      <c r="J595" s="2" t="s">
        <v>653</v>
      </c>
      <c r="K595" s="2" t="s">
        <v>510</v>
      </c>
      <c r="L595" s="3">
        <v>0.39027777777777778</v>
      </c>
      <c r="M595" s="2" t="s">
        <v>724</v>
      </c>
      <c r="N595" s="2" t="s">
        <v>500</v>
      </c>
      <c r="O595" s="2"/>
    </row>
    <row r="596" spans="1:15" x14ac:dyDescent="0.25">
      <c r="A596" s="2" t="s">
        <v>15</v>
      </c>
      <c r="B596" s="2" t="str">
        <f>"FES1162768020"</f>
        <v>FES1162768020</v>
      </c>
      <c r="C596" s="2" t="s">
        <v>411</v>
      </c>
      <c r="D596" s="2">
        <v>1</v>
      </c>
      <c r="E596" s="2" t="str">
        <f>"2170752578"</f>
        <v>2170752578</v>
      </c>
      <c r="F596" s="2" t="s">
        <v>17</v>
      </c>
      <c r="G596" s="2" t="s">
        <v>18</v>
      </c>
      <c r="H596" s="2" t="s">
        <v>36</v>
      </c>
      <c r="I596" s="2" t="s">
        <v>37</v>
      </c>
      <c r="J596" s="2" t="s">
        <v>162</v>
      </c>
      <c r="K596" s="2" t="s">
        <v>510</v>
      </c>
      <c r="L596" s="3">
        <v>0.47152777777777777</v>
      </c>
      <c r="M596" s="2" t="s">
        <v>268</v>
      </c>
      <c r="N596" s="2" t="s">
        <v>500</v>
      </c>
      <c r="O596" s="2"/>
    </row>
    <row r="597" spans="1:15" x14ac:dyDescent="0.25">
      <c r="A597" s="2" t="s">
        <v>15</v>
      </c>
      <c r="B597" s="2" t="str">
        <f>"009940283639"</f>
        <v>009940283639</v>
      </c>
      <c r="C597" s="2" t="s">
        <v>411</v>
      </c>
      <c r="D597" s="2">
        <v>1</v>
      </c>
      <c r="E597" s="2" t="str">
        <f>"1162767580"</f>
        <v>1162767580</v>
      </c>
      <c r="F597" s="2" t="s">
        <v>17</v>
      </c>
      <c r="G597" s="2" t="s">
        <v>18</v>
      </c>
      <c r="H597" s="2" t="s">
        <v>78</v>
      </c>
      <c r="I597" s="2" t="s">
        <v>79</v>
      </c>
      <c r="J597" s="2" t="s">
        <v>113</v>
      </c>
      <c r="K597" s="2" t="s">
        <v>698</v>
      </c>
      <c r="L597" s="3">
        <v>0.57222222222222219</v>
      </c>
      <c r="M597" s="2" t="s">
        <v>921</v>
      </c>
      <c r="N597" s="2" t="s">
        <v>500</v>
      </c>
      <c r="O597" s="2"/>
    </row>
    <row r="598" spans="1:15" x14ac:dyDescent="0.25">
      <c r="A598" s="2" t="s">
        <v>15</v>
      </c>
      <c r="B598" s="2" t="str">
        <f>"FES1162768226"</f>
        <v>FES1162768226</v>
      </c>
      <c r="C598" s="2" t="s">
        <v>411</v>
      </c>
      <c r="D598" s="2">
        <v>1</v>
      </c>
      <c r="E598" s="2" t="str">
        <f>"2170756097"</f>
        <v>2170756097</v>
      </c>
      <c r="F598" s="2" t="s">
        <v>17</v>
      </c>
      <c r="G598" s="2" t="s">
        <v>18</v>
      </c>
      <c r="H598" s="2" t="s">
        <v>25</v>
      </c>
      <c r="I598" s="2" t="s">
        <v>26</v>
      </c>
      <c r="J598" s="2" t="s">
        <v>654</v>
      </c>
      <c r="K598" s="2" t="s">
        <v>510</v>
      </c>
      <c r="L598" s="3">
        <v>0.36180555555555555</v>
      </c>
      <c r="M598" s="2" t="s">
        <v>725</v>
      </c>
      <c r="N598" s="2" t="s">
        <v>500</v>
      </c>
      <c r="O598" s="2"/>
    </row>
    <row r="599" spans="1:15" x14ac:dyDescent="0.25">
      <c r="A599" s="2" t="s">
        <v>15</v>
      </c>
      <c r="B599" s="2" t="str">
        <f>"FES1162768211"</f>
        <v>FES1162768211</v>
      </c>
      <c r="C599" s="2" t="s">
        <v>411</v>
      </c>
      <c r="D599" s="2">
        <v>1</v>
      </c>
      <c r="E599" s="2" t="str">
        <f>"2170755837"</f>
        <v>2170755837</v>
      </c>
      <c r="F599" s="2" t="s">
        <v>17</v>
      </c>
      <c r="G599" s="2" t="s">
        <v>18</v>
      </c>
      <c r="H599" s="2" t="s">
        <v>36</v>
      </c>
      <c r="I599" s="2" t="s">
        <v>496</v>
      </c>
      <c r="J599" s="2" t="s">
        <v>497</v>
      </c>
      <c r="K599" s="2" t="s">
        <v>510</v>
      </c>
      <c r="L599" s="3">
        <v>0.6875</v>
      </c>
      <c r="M599" s="2" t="s">
        <v>726</v>
      </c>
      <c r="N599" s="2" t="s">
        <v>500</v>
      </c>
      <c r="O599" s="2"/>
    </row>
    <row r="600" spans="1:15" x14ac:dyDescent="0.25">
      <c r="A600" s="2" t="s">
        <v>15</v>
      </c>
      <c r="B600" s="2" t="str">
        <f>"FES1162768027"</f>
        <v>FES1162768027</v>
      </c>
      <c r="C600" s="2" t="s">
        <v>411</v>
      </c>
      <c r="D600" s="2">
        <v>1</v>
      </c>
      <c r="E600" s="2" t="str">
        <f>"2170753158"</f>
        <v>2170753158</v>
      </c>
      <c r="F600" s="2" t="s">
        <v>17</v>
      </c>
      <c r="G600" s="2" t="s">
        <v>18</v>
      </c>
      <c r="H600" s="2" t="s">
        <v>33</v>
      </c>
      <c r="I600" s="2" t="s">
        <v>34</v>
      </c>
      <c r="J600" s="2" t="s">
        <v>371</v>
      </c>
      <c r="K600" s="2" t="s">
        <v>510</v>
      </c>
      <c r="L600" s="3">
        <v>0.43333333333333335</v>
      </c>
      <c r="M600" s="2" t="s">
        <v>727</v>
      </c>
      <c r="N600" s="2" t="s">
        <v>500</v>
      </c>
      <c r="O600" s="2"/>
    </row>
    <row r="601" spans="1:15" x14ac:dyDescent="0.25">
      <c r="A601" s="2" t="s">
        <v>15</v>
      </c>
      <c r="B601" s="2" t="str">
        <f>"FES1162768015"</f>
        <v>FES1162768015</v>
      </c>
      <c r="C601" s="2" t="s">
        <v>411</v>
      </c>
      <c r="D601" s="2">
        <v>1</v>
      </c>
      <c r="E601" s="2" t="str">
        <f>"2170751656"</f>
        <v>2170751656</v>
      </c>
      <c r="F601" s="2" t="s">
        <v>17</v>
      </c>
      <c r="G601" s="2" t="s">
        <v>18</v>
      </c>
      <c r="H601" s="2" t="s">
        <v>36</v>
      </c>
      <c r="I601" s="2" t="s">
        <v>37</v>
      </c>
      <c r="J601" s="2" t="s">
        <v>162</v>
      </c>
      <c r="K601" s="2" t="s">
        <v>510</v>
      </c>
      <c r="L601" s="3">
        <v>0.47152777777777777</v>
      </c>
      <c r="M601" s="2" t="s">
        <v>268</v>
      </c>
      <c r="N601" s="2" t="s">
        <v>500</v>
      </c>
      <c r="O601" s="2"/>
    </row>
    <row r="602" spans="1:15" x14ac:dyDescent="0.25">
      <c r="A602" s="2" t="s">
        <v>15</v>
      </c>
      <c r="B602" s="2" t="str">
        <f>"FES1162768214"</f>
        <v>FES1162768214</v>
      </c>
      <c r="C602" s="2" t="s">
        <v>411</v>
      </c>
      <c r="D602" s="2">
        <v>1</v>
      </c>
      <c r="E602" s="2" t="str">
        <f>"2170756098"</f>
        <v>2170756098</v>
      </c>
      <c r="F602" s="2" t="s">
        <v>17</v>
      </c>
      <c r="G602" s="2" t="s">
        <v>18</v>
      </c>
      <c r="H602" s="2" t="s">
        <v>19</v>
      </c>
      <c r="I602" s="2" t="s">
        <v>136</v>
      </c>
      <c r="J602" s="2" t="s">
        <v>137</v>
      </c>
      <c r="K602" s="2" t="s">
        <v>510</v>
      </c>
      <c r="L602" s="3">
        <v>0.51527777777777783</v>
      </c>
      <c r="M602" s="2" t="s">
        <v>728</v>
      </c>
      <c r="N602" s="2" t="s">
        <v>500</v>
      </c>
      <c r="O602" s="2"/>
    </row>
    <row r="603" spans="1:15" x14ac:dyDescent="0.25">
      <c r="A603" s="2" t="s">
        <v>15</v>
      </c>
      <c r="B603" s="2" t="str">
        <f>"FES1162768047"</f>
        <v>FES1162768047</v>
      </c>
      <c r="C603" s="2" t="s">
        <v>411</v>
      </c>
      <c r="D603" s="2">
        <v>1</v>
      </c>
      <c r="E603" s="2" t="str">
        <f>"2170755166"</f>
        <v>2170755166</v>
      </c>
      <c r="F603" s="2" t="s">
        <v>17</v>
      </c>
      <c r="G603" s="2" t="s">
        <v>18</v>
      </c>
      <c r="H603" s="2" t="s">
        <v>33</v>
      </c>
      <c r="I603" s="2" t="s">
        <v>34</v>
      </c>
      <c r="J603" s="2" t="s">
        <v>317</v>
      </c>
      <c r="K603" s="2" t="s">
        <v>510</v>
      </c>
      <c r="L603" s="3">
        <v>0.39305555555555555</v>
      </c>
      <c r="M603" s="2" t="s">
        <v>716</v>
      </c>
      <c r="N603" s="2" t="s">
        <v>500</v>
      </c>
      <c r="O603" s="2"/>
    </row>
    <row r="604" spans="1:15" x14ac:dyDescent="0.25">
      <c r="A604" s="2" t="s">
        <v>15</v>
      </c>
      <c r="B604" s="2" t="str">
        <f>"FES1162768227"</f>
        <v>FES1162768227</v>
      </c>
      <c r="C604" s="2" t="s">
        <v>411</v>
      </c>
      <c r="D604" s="2">
        <v>1</v>
      </c>
      <c r="E604" s="2" t="str">
        <f>"2170756099"</f>
        <v>2170756099</v>
      </c>
      <c r="F604" s="2" t="s">
        <v>17</v>
      </c>
      <c r="G604" s="2" t="s">
        <v>18</v>
      </c>
      <c r="H604" s="2" t="s">
        <v>78</v>
      </c>
      <c r="I604" s="2" t="s">
        <v>159</v>
      </c>
      <c r="J604" s="2" t="s">
        <v>402</v>
      </c>
      <c r="K604" s="2" t="s">
        <v>510</v>
      </c>
      <c r="L604" s="3">
        <v>0.53541666666666665</v>
      </c>
      <c r="M604" s="2" t="s">
        <v>729</v>
      </c>
      <c r="N604" s="2" t="s">
        <v>500</v>
      </c>
      <c r="O604" s="2"/>
    </row>
    <row r="605" spans="1:15" x14ac:dyDescent="0.25">
      <c r="A605" s="5" t="s">
        <v>15</v>
      </c>
      <c r="B605" s="5" t="str">
        <f>"FES1162768206"</f>
        <v>FES1162768206</v>
      </c>
      <c r="C605" s="5" t="s">
        <v>411</v>
      </c>
      <c r="D605" s="5">
        <v>1</v>
      </c>
      <c r="E605" s="5" t="str">
        <f>"2170756095"</f>
        <v>2170756095</v>
      </c>
      <c r="F605" s="5" t="s">
        <v>17</v>
      </c>
      <c r="G605" s="5" t="s">
        <v>18</v>
      </c>
      <c r="H605" s="5" t="s">
        <v>18</v>
      </c>
      <c r="I605" s="5" t="s">
        <v>46</v>
      </c>
      <c r="J605" s="5" t="s">
        <v>153</v>
      </c>
      <c r="K605" s="5" t="s">
        <v>510</v>
      </c>
      <c r="L605" s="9">
        <v>0.36180555555555555</v>
      </c>
      <c r="M605" s="5" t="s">
        <v>1047</v>
      </c>
      <c r="N605" s="5" t="s">
        <v>500</v>
      </c>
      <c r="O605" s="5"/>
    </row>
    <row r="606" spans="1:15" x14ac:dyDescent="0.25">
      <c r="A606" s="5" t="s">
        <v>15</v>
      </c>
      <c r="B606" s="5" t="str">
        <f>"FES1162768230"</f>
        <v>FES1162768230</v>
      </c>
      <c r="C606" s="5" t="s">
        <v>411</v>
      </c>
      <c r="D606" s="5">
        <v>1</v>
      </c>
      <c r="E606" s="5" t="str">
        <f>"2170756115"</f>
        <v>2170756115</v>
      </c>
      <c r="F606" s="5" t="s">
        <v>17</v>
      </c>
      <c r="G606" s="5" t="s">
        <v>18</v>
      </c>
      <c r="H606" s="5" t="s">
        <v>18</v>
      </c>
      <c r="I606" s="5" t="s">
        <v>107</v>
      </c>
      <c r="J606" s="5" t="s">
        <v>108</v>
      </c>
      <c r="K606" s="5" t="s">
        <v>510</v>
      </c>
      <c r="L606" s="9">
        <v>0.375</v>
      </c>
      <c r="M606" s="5" t="s">
        <v>354</v>
      </c>
      <c r="N606" s="5" t="s">
        <v>500</v>
      </c>
      <c r="O606" s="5"/>
    </row>
    <row r="607" spans="1:15" x14ac:dyDescent="0.25">
      <c r="A607" s="2" t="s">
        <v>15</v>
      </c>
      <c r="B607" s="2" t="str">
        <f>"FES1162768030"</f>
        <v>FES1162768030</v>
      </c>
      <c r="C607" s="2" t="s">
        <v>411</v>
      </c>
      <c r="D607" s="2">
        <v>1</v>
      </c>
      <c r="E607" s="2" t="str">
        <f>"2170753211"</f>
        <v>2170753211</v>
      </c>
      <c r="F607" s="2" t="s">
        <v>17</v>
      </c>
      <c r="G607" s="2" t="s">
        <v>18</v>
      </c>
      <c r="H607" s="2" t="s">
        <v>36</v>
      </c>
      <c r="I607" s="2" t="s">
        <v>37</v>
      </c>
      <c r="J607" s="2" t="s">
        <v>162</v>
      </c>
      <c r="K607" s="2" t="s">
        <v>510</v>
      </c>
      <c r="L607" s="3">
        <v>0.34027777777777773</v>
      </c>
      <c r="M607" s="2" t="s">
        <v>268</v>
      </c>
      <c r="N607" s="2" t="s">
        <v>500</v>
      </c>
      <c r="O607" s="2"/>
    </row>
    <row r="608" spans="1:15" x14ac:dyDescent="0.25">
      <c r="A608" s="2" t="s">
        <v>15</v>
      </c>
      <c r="B608" s="2" t="str">
        <f>"FES1162768191"</f>
        <v>FES1162768191</v>
      </c>
      <c r="C608" s="2" t="s">
        <v>411</v>
      </c>
      <c r="D608" s="2">
        <v>1</v>
      </c>
      <c r="E608" s="2" t="str">
        <f>"2170756085"</f>
        <v>2170756085</v>
      </c>
      <c r="F608" s="2" t="s">
        <v>17</v>
      </c>
      <c r="G608" s="2" t="s">
        <v>18</v>
      </c>
      <c r="H608" s="2" t="s">
        <v>19</v>
      </c>
      <c r="I608" s="2" t="s">
        <v>20</v>
      </c>
      <c r="J608" s="2" t="s">
        <v>21</v>
      </c>
      <c r="K608" s="2" t="s">
        <v>510</v>
      </c>
      <c r="L608" s="3">
        <v>0.38194444444444442</v>
      </c>
      <c r="M608" s="2" t="s">
        <v>682</v>
      </c>
      <c r="N608" s="2" t="s">
        <v>500</v>
      </c>
      <c r="O608" s="2"/>
    </row>
    <row r="609" spans="1:15" x14ac:dyDescent="0.25">
      <c r="A609" s="2" t="s">
        <v>15</v>
      </c>
      <c r="B609" s="2" t="str">
        <f>"FES1162768197"</f>
        <v>FES1162768197</v>
      </c>
      <c r="C609" s="2" t="s">
        <v>411</v>
      </c>
      <c r="D609" s="2">
        <v>1</v>
      </c>
      <c r="E609" s="2" t="str">
        <f>"2170756087"</f>
        <v>2170756087</v>
      </c>
      <c r="F609" s="2" t="s">
        <v>17</v>
      </c>
      <c r="G609" s="2" t="s">
        <v>18</v>
      </c>
      <c r="H609" s="2" t="s">
        <v>19</v>
      </c>
      <c r="I609" s="2" t="s">
        <v>269</v>
      </c>
      <c r="J609" s="2" t="s">
        <v>655</v>
      </c>
      <c r="K609" s="2" t="s">
        <v>510</v>
      </c>
      <c r="L609" s="3">
        <v>0.35416666666666669</v>
      </c>
      <c r="M609" s="2" t="s">
        <v>730</v>
      </c>
      <c r="N609" s="2" t="s">
        <v>500</v>
      </c>
      <c r="O609" s="2"/>
    </row>
    <row r="610" spans="1:15" x14ac:dyDescent="0.25">
      <c r="A610" s="2" t="s">
        <v>15</v>
      </c>
      <c r="B610" s="2" t="str">
        <f>"FES1162768210"</f>
        <v>FES1162768210</v>
      </c>
      <c r="C610" s="2" t="s">
        <v>411</v>
      </c>
      <c r="D610" s="2">
        <v>1</v>
      </c>
      <c r="E610" s="2" t="str">
        <f>"2170755832"</f>
        <v>2170755832</v>
      </c>
      <c r="F610" s="2" t="s">
        <v>17</v>
      </c>
      <c r="G610" s="2" t="s">
        <v>18</v>
      </c>
      <c r="H610" s="2" t="s">
        <v>19</v>
      </c>
      <c r="I610" s="2" t="s">
        <v>20</v>
      </c>
      <c r="J610" s="2" t="s">
        <v>327</v>
      </c>
      <c r="K610" s="2" t="s">
        <v>510</v>
      </c>
      <c r="L610" s="3">
        <v>0.3666666666666667</v>
      </c>
      <c r="M610" s="2" t="s">
        <v>328</v>
      </c>
      <c r="N610" s="2" t="s">
        <v>500</v>
      </c>
      <c r="O610" s="2"/>
    </row>
    <row r="611" spans="1:15" x14ac:dyDescent="0.25">
      <c r="A611" s="2" t="s">
        <v>15</v>
      </c>
      <c r="B611" s="2" t="str">
        <f>"FES1162768188"</f>
        <v>FES1162768188</v>
      </c>
      <c r="C611" s="2" t="s">
        <v>411</v>
      </c>
      <c r="D611" s="2">
        <v>1</v>
      </c>
      <c r="E611" s="2" t="str">
        <f>"2170756081"</f>
        <v>2170756081</v>
      </c>
      <c r="F611" s="2" t="s">
        <v>17</v>
      </c>
      <c r="G611" s="2" t="s">
        <v>18</v>
      </c>
      <c r="H611" s="2" t="s">
        <v>19</v>
      </c>
      <c r="I611" s="2" t="s">
        <v>111</v>
      </c>
      <c r="J611" s="2" t="s">
        <v>656</v>
      </c>
      <c r="K611" s="2" t="s">
        <v>510</v>
      </c>
      <c r="L611" s="3">
        <v>0.42638888888888887</v>
      </c>
      <c r="M611" s="2" t="s">
        <v>731</v>
      </c>
      <c r="N611" s="2" t="s">
        <v>500</v>
      </c>
      <c r="O611" s="2"/>
    </row>
    <row r="612" spans="1:15" x14ac:dyDescent="0.25">
      <c r="A612" s="2" t="s">
        <v>15</v>
      </c>
      <c r="B612" s="2" t="str">
        <f>"FES1162768175"</f>
        <v>FES1162768175</v>
      </c>
      <c r="C612" s="2" t="s">
        <v>411</v>
      </c>
      <c r="D612" s="2">
        <v>1</v>
      </c>
      <c r="E612" s="2" t="str">
        <f>"2170756065"</f>
        <v>2170756065</v>
      </c>
      <c r="F612" s="2" t="s">
        <v>17</v>
      </c>
      <c r="G612" s="2" t="s">
        <v>18</v>
      </c>
      <c r="H612" s="2" t="s">
        <v>18</v>
      </c>
      <c r="I612" s="2" t="s">
        <v>46</v>
      </c>
      <c r="J612" s="2" t="s">
        <v>124</v>
      </c>
      <c r="K612" s="2" t="s">
        <v>510</v>
      </c>
      <c r="L612" s="3">
        <v>0.45833333333333331</v>
      </c>
      <c r="M612" s="2" t="s">
        <v>732</v>
      </c>
      <c r="N612" s="2" t="s">
        <v>500</v>
      </c>
      <c r="O612" s="2"/>
    </row>
    <row r="613" spans="1:15" x14ac:dyDescent="0.25">
      <c r="A613" s="2" t="s">
        <v>15</v>
      </c>
      <c r="B613" s="2" t="str">
        <f>"FES1162768218"</f>
        <v>FES1162768218</v>
      </c>
      <c r="C613" s="2" t="s">
        <v>411</v>
      </c>
      <c r="D613" s="2">
        <v>1</v>
      </c>
      <c r="E613" s="2" t="str">
        <f>"2170756103"</f>
        <v>2170756103</v>
      </c>
      <c r="F613" s="2" t="s">
        <v>17</v>
      </c>
      <c r="G613" s="2" t="s">
        <v>18</v>
      </c>
      <c r="H613" s="2" t="s">
        <v>657</v>
      </c>
      <c r="I613" s="2" t="s">
        <v>658</v>
      </c>
      <c r="J613" s="2" t="s">
        <v>659</v>
      </c>
      <c r="K613" s="2" t="s">
        <v>510</v>
      </c>
      <c r="L613" s="3">
        <v>0.43611111111111112</v>
      </c>
      <c r="M613" s="2" t="s">
        <v>733</v>
      </c>
      <c r="N613" s="2" t="s">
        <v>500</v>
      </c>
      <c r="O613" s="2"/>
    </row>
    <row r="614" spans="1:15" x14ac:dyDescent="0.25">
      <c r="A614" s="2" t="s">
        <v>15</v>
      </c>
      <c r="B614" s="2" t="str">
        <f>"FES1162768238"</f>
        <v>FES1162768238</v>
      </c>
      <c r="C614" s="2" t="s">
        <v>411</v>
      </c>
      <c r="D614" s="2">
        <v>1</v>
      </c>
      <c r="E614" s="2" t="str">
        <f>"2170756127"</f>
        <v>2170756127</v>
      </c>
      <c r="F614" s="2" t="s">
        <v>17</v>
      </c>
      <c r="G614" s="2" t="s">
        <v>18</v>
      </c>
      <c r="H614" s="2" t="s">
        <v>25</v>
      </c>
      <c r="I614" s="2" t="s">
        <v>42</v>
      </c>
      <c r="J614" s="2" t="s">
        <v>639</v>
      </c>
      <c r="K614" s="2" t="s">
        <v>510</v>
      </c>
      <c r="L614" s="3">
        <v>0.51458333333333328</v>
      </c>
      <c r="M614" s="2" t="s">
        <v>734</v>
      </c>
      <c r="N614" s="2" t="s">
        <v>500</v>
      </c>
      <c r="O614" s="2"/>
    </row>
    <row r="615" spans="1:15" x14ac:dyDescent="0.25">
      <c r="A615" s="2" t="s">
        <v>15</v>
      </c>
      <c r="B615" s="2" t="str">
        <f>"FES1162768223"</f>
        <v>FES1162768223</v>
      </c>
      <c r="C615" s="2" t="s">
        <v>411</v>
      </c>
      <c r="D615" s="2">
        <v>1</v>
      </c>
      <c r="E615" s="2" t="str">
        <f>"2170756117"</f>
        <v>2170756117</v>
      </c>
      <c r="F615" s="2" t="s">
        <v>17</v>
      </c>
      <c r="G615" s="2" t="s">
        <v>18</v>
      </c>
      <c r="H615" s="2" t="s">
        <v>19</v>
      </c>
      <c r="I615" s="2" t="s">
        <v>20</v>
      </c>
      <c r="J615" s="2" t="s">
        <v>606</v>
      </c>
      <c r="K615" s="2" t="s">
        <v>510</v>
      </c>
      <c r="L615" s="3">
        <v>0.45208333333333334</v>
      </c>
      <c r="M615" s="2" t="s">
        <v>676</v>
      </c>
      <c r="N615" s="2" t="s">
        <v>500</v>
      </c>
      <c r="O615" s="2"/>
    </row>
    <row r="616" spans="1:15" x14ac:dyDescent="0.25">
      <c r="A616" s="2" t="s">
        <v>15</v>
      </c>
      <c r="B616" s="2" t="str">
        <f>"FES1162768236"</f>
        <v>FES1162768236</v>
      </c>
      <c r="C616" s="2" t="s">
        <v>411</v>
      </c>
      <c r="D616" s="2">
        <v>1</v>
      </c>
      <c r="E616" s="2" t="str">
        <f>"2170756125"</f>
        <v>2170756125</v>
      </c>
      <c r="F616" s="2" t="s">
        <v>17</v>
      </c>
      <c r="G616" s="2" t="s">
        <v>18</v>
      </c>
      <c r="H616" s="2" t="s">
        <v>19</v>
      </c>
      <c r="I616" s="2" t="s">
        <v>111</v>
      </c>
      <c r="J616" s="2" t="s">
        <v>70</v>
      </c>
      <c r="K616" s="2" t="s">
        <v>510</v>
      </c>
      <c r="L616" s="3">
        <v>0.40069444444444446</v>
      </c>
      <c r="M616" s="2" t="s">
        <v>735</v>
      </c>
      <c r="N616" s="2" t="s">
        <v>500</v>
      </c>
      <c r="O616" s="2"/>
    </row>
    <row r="617" spans="1:15" x14ac:dyDescent="0.25">
      <c r="A617" s="2" t="s">
        <v>15</v>
      </c>
      <c r="B617" s="2" t="str">
        <f>"FES1162768198"</f>
        <v>FES1162768198</v>
      </c>
      <c r="C617" s="2" t="s">
        <v>411</v>
      </c>
      <c r="D617" s="2">
        <v>1</v>
      </c>
      <c r="E617" s="2" t="str">
        <f>"2170756088"</f>
        <v>2170756088</v>
      </c>
      <c r="F617" s="2" t="s">
        <v>17</v>
      </c>
      <c r="G617" s="2" t="s">
        <v>18</v>
      </c>
      <c r="H617" s="2" t="s">
        <v>18</v>
      </c>
      <c r="I617" s="2" t="s">
        <v>63</v>
      </c>
      <c r="J617" s="2" t="s">
        <v>93</v>
      </c>
      <c r="K617" s="2" t="s">
        <v>510</v>
      </c>
      <c r="L617" s="3">
        <v>0.3756944444444445</v>
      </c>
      <c r="M617" s="2" t="s">
        <v>736</v>
      </c>
      <c r="N617" s="2" t="s">
        <v>500</v>
      </c>
      <c r="O617" s="2"/>
    </row>
    <row r="618" spans="1:15" x14ac:dyDescent="0.25">
      <c r="A618" s="2" t="s">
        <v>15</v>
      </c>
      <c r="B618" s="2" t="str">
        <f>"FES1162768163"</f>
        <v>FES1162768163</v>
      </c>
      <c r="C618" s="2" t="s">
        <v>411</v>
      </c>
      <c r="D618" s="2">
        <v>1</v>
      </c>
      <c r="E618" s="2" t="str">
        <f>"21700756047"</f>
        <v>21700756047</v>
      </c>
      <c r="F618" s="2" t="s">
        <v>17</v>
      </c>
      <c r="G618" s="2" t="s">
        <v>18</v>
      </c>
      <c r="H618" s="2" t="s">
        <v>18</v>
      </c>
      <c r="I618" s="2" t="s">
        <v>46</v>
      </c>
      <c r="J618" s="2" t="s">
        <v>660</v>
      </c>
      <c r="K618" s="2" t="s">
        <v>510</v>
      </c>
      <c r="L618" s="3">
        <v>0.31111111111111112</v>
      </c>
      <c r="M618" s="2" t="s">
        <v>354</v>
      </c>
      <c r="N618" s="2" t="s">
        <v>500</v>
      </c>
      <c r="O618" s="2"/>
    </row>
    <row r="619" spans="1:15" x14ac:dyDescent="0.25">
      <c r="A619" s="2" t="s">
        <v>15</v>
      </c>
      <c r="B619" s="2" t="str">
        <f>"FES1162768166"</f>
        <v>FES1162768166</v>
      </c>
      <c r="C619" s="2" t="s">
        <v>411</v>
      </c>
      <c r="D619" s="2">
        <v>1</v>
      </c>
      <c r="E619" s="2" t="str">
        <f>"2170756052"</f>
        <v>2170756052</v>
      </c>
      <c r="F619" s="2" t="s">
        <v>17</v>
      </c>
      <c r="G619" s="2" t="s">
        <v>18</v>
      </c>
      <c r="H619" s="2" t="s">
        <v>19</v>
      </c>
      <c r="I619" s="2" t="s">
        <v>20</v>
      </c>
      <c r="J619" s="2" t="s">
        <v>123</v>
      </c>
      <c r="K619" s="2" t="s">
        <v>510</v>
      </c>
      <c r="L619" s="3">
        <v>0.42222222222222222</v>
      </c>
      <c r="M619" s="2" t="s">
        <v>233</v>
      </c>
      <c r="N619" s="2" t="s">
        <v>500</v>
      </c>
      <c r="O619" s="2"/>
    </row>
    <row r="620" spans="1:15" x14ac:dyDescent="0.25">
      <c r="A620" s="2" t="s">
        <v>15</v>
      </c>
      <c r="B620" s="2" t="str">
        <f>"FES1162768029"</f>
        <v>FES1162768029</v>
      </c>
      <c r="C620" s="2" t="s">
        <v>411</v>
      </c>
      <c r="D620" s="2">
        <v>1</v>
      </c>
      <c r="E620" s="2" t="str">
        <f>"2170753209"</f>
        <v>2170753209</v>
      </c>
      <c r="F620" s="2" t="s">
        <v>17</v>
      </c>
      <c r="G620" s="2" t="s">
        <v>18</v>
      </c>
      <c r="H620" s="2" t="s">
        <v>36</v>
      </c>
      <c r="I620" s="2" t="s">
        <v>37</v>
      </c>
      <c r="J620" s="2" t="s">
        <v>162</v>
      </c>
      <c r="K620" s="2" t="s">
        <v>510</v>
      </c>
      <c r="L620" s="3">
        <v>0.34027777777777773</v>
      </c>
      <c r="M620" s="2" t="s">
        <v>268</v>
      </c>
      <c r="N620" s="2" t="s">
        <v>500</v>
      </c>
      <c r="O620" s="2"/>
    </row>
    <row r="621" spans="1:15" x14ac:dyDescent="0.25">
      <c r="A621" s="2" t="s">
        <v>15</v>
      </c>
      <c r="B621" s="2" t="str">
        <f>"FES1162768182"</f>
        <v>FES1162768182</v>
      </c>
      <c r="C621" s="2" t="s">
        <v>411</v>
      </c>
      <c r="D621" s="2">
        <v>1</v>
      </c>
      <c r="E621" s="2" t="str">
        <f>"2170755348"</f>
        <v>2170755348</v>
      </c>
      <c r="F621" s="2" t="s">
        <v>17</v>
      </c>
      <c r="G621" s="2" t="s">
        <v>18</v>
      </c>
      <c r="H621" s="2" t="s">
        <v>36</v>
      </c>
      <c r="I621" s="2" t="s">
        <v>37</v>
      </c>
      <c r="J621" s="2" t="s">
        <v>272</v>
      </c>
      <c r="K621" s="2" t="s">
        <v>510</v>
      </c>
      <c r="L621" s="3">
        <v>0.41250000000000003</v>
      </c>
      <c r="M621" s="2" t="s">
        <v>538</v>
      </c>
      <c r="N621" s="2" t="s">
        <v>500</v>
      </c>
      <c r="O621" s="2"/>
    </row>
    <row r="622" spans="1:15" x14ac:dyDescent="0.25">
      <c r="A622" s="2" t="s">
        <v>15</v>
      </c>
      <c r="B622" s="2" t="str">
        <f>"FES1162768135"</f>
        <v>FES1162768135</v>
      </c>
      <c r="C622" s="2" t="s">
        <v>411</v>
      </c>
      <c r="D622" s="2">
        <v>1</v>
      </c>
      <c r="E622" s="2" t="str">
        <f>"2170755991"</f>
        <v>2170755991</v>
      </c>
      <c r="F622" s="2" t="s">
        <v>17</v>
      </c>
      <c r="G622" s="2" t="s">
        <v>18</v>
      </c>
      <c r="H622" s="2" t="s">
        <v>36</v>
      </c>
      <c r="I622" s="2" t="s">
        <v>37</v>
      </c>
      <c r="J622" s="2" t="s">
        <v>661</v>
      </c>
      <c r="K622" s="2" t="s">
        <v>510</v>
      </c>
      <c r="L622" s="3">
        <v>0.41666666666666669</v>
      </c>
      <c r="M622" s="2" t="s">
        <v>737</v>
      </c>
      <c r="N622" s="2" t="s">
        <v>500</v>
      </c>
      <c r="O622" s="2"/>
    </row>
    <row r="623" spans="1:15" x14ac:dyDescent="0.25">
      <c r="A623" s="2" t="s">
        <v>15</v>
      </c>
      <c r="B623" s="2" t="str">
        <f>"FES1162768022"</f>
        <v>FES1162768022</v>
      </c>
      <c r="C623" s="2" t="s">
        <v>411</v>
      </c>
      <c r="D623" s="2">
        <v>1</v>
      </c>
      <c r="E623" s="2" t="str">
        <f>"2170752631"</f>
        <v>2170752631</v>
      </c>
      <c r="F623" s="2" t="s">
        <v>17</v>
      </c>
      <c r="G623" s="2" t="s">
        <v>18</v>
      </c>
      <c r="H623" s="2" t="s">
        <v>36</v>
      </c>
      <c r="I623" s="2" t="s">
        <v>37</v>
      </c>
      <c r="J623" s="2" t="s">
        <v>162</v>
      </c>
      <c r="K623" s="2" t="s">
        <v>510</v>
      </c>
      <c r="L623" s="3">
        <v>0.34027777777777773</v>
      </c>
      <c r="M623" s="2" t="s">
        <v>268</v>
      </c>
      <c r="N623" s="2" t="s">
        <v>500</v>
      </c>
      <c r="O623" s="2"/>
    </row>
    <row r="624" spans="1:15" x14ac:dyDescent="0.25">
      <c r="A624" s="2" t="s">
        <v>15</v>
      </c>
      <c r="B624" s="2" t="str">
        <f>"FES1162768237"</f>
        <v>FES1162768237</v>
      </c>
      <c r="C624" s="2" t="s">
        <v>411</v>
      </c>
      <c r="D624" s="2">
        <v>1</v>
      </c>
      <c r="E624" s="2" t="str">
        <f>"2170756126"</f>
        <v>2170756126</v>
      </c>
      <c r="F624" s="2" t="s">
        <v>17</v>
      </c>
      <c r="G624" s="2" t="s">
        <v>18</v>
      </c>
      <c r="H624" s="2" t="s">
        <v>19</v>
      </c>
      <c r="I624" s="2" t="s">
        <v>111</v>
      </c>
      <c r="J624" s="2" t="s">
        <v>662</v>
      </c>
      <c r="K624" s="2" t="s">
        <v>510</v>
      </c>
      <c r="L624" s="3">
        <v>0.42986111111111108</v>
      </c>
      <c r="M624" s="2" t="s">
        <v>738</v>
      </c>
      <c r="N624" s="2" t="s">
        <v>500</v>
      </c>
      <c r="O624" s="2"/>
    </row>
    <row r="625" spans="1:15" x14ac:dyDescent="0.25">
      <c r="A625" s="2" t="s">
        <v>15</v>
      </c>
      <c r="B625" s="2" t="str">
        <f>"FES1162768249"</f>
        <v>FES1162768249</v>
      </c>
      <c r="C625" s="2" t="s">
        <v>411</v>
      </c>
      <c r="D625" s="2">
        <v>1</v>
      </c>
      <c r="E625" s="2" t="str">
        <f>"2170756132"</f>
        <v>2170756132</v>
      </c>
      <c r="F625" s="2" t="s">
        <v>17</v>
      </c>
      <c r="G625" s="2" t="s">
        <v>18</v>
      </c>
      <c r="H625" s="2" t="s">
        <v>18</v>
      </c>
      <c r="I625" s="2" t="s">
        <v>46</v>
      </c>
      <c r="J625" s="2" t="s">
        <v>663</v>
      </c>
      <c r="K625" s="2" t="s">
        <v>510</v>
      </c>
      <c r="L625" s="3">
        <v>0.33333333333333331</v>
      </c>
      <c r="M625" s="2" t="s">
        <v>739</v>
      </c>
      <c r="N625" s="2" t="s">
        <v>500</v>
      </c>
      <c r="O625" s="2"/>
    </row>
    <row r="626" spans="1:15" x14ac:dyDescent="0.25">
      <c r="A626" s="2" t="s">
        <v>15</v>
      </c>
      <c r="B626" s="2" t="str">
        <f>"FES1162768024"</f>
        <v>FES1162768024</v>
      </c>
      <c r="C626" s="2" t="s">
        <v>411</v>
      </c>
      <c r="D626" s="2">
        <v>1</v>
      </c>
      <c r="E626" s="2" t="str">
        <f>"2170752814"</f>
        <v>2170752814</v>
      </c>
      <c r="F626" s="2" t="s">
        <v>17</v>
      </c>
      <c r="G626" s="2" t="s">
        <v>18</v>
      </c>
      <c r="H626" s="2" t="s">
        <v>36</v>
      </c>
      <c r="I626" s="2" t="s">
        <v>37</v>
      </c>
      <c r="J626" s="2" t="s">
        <v>162</v>
      </c>
      <c r="K626" s="2" t="s">
        <v>510</v>
      </c>
      <c r="L626" s="3">
        <v>0.34027777777777773</v>
      </c>
      <c r="M626" s="2" t="s">
        <v>268</v>
      </c>
      <c r="N626" s="2" t="s">
        <v>500</v>
      </c>
      <c r="O626" s="2"/>
    </row>
    <row r="627" spans="1:15" x14ac:dyDescent="0.25">
      <c r="A627" s="2" t="s">
        <v>15</v>
      </c>
      <c r="B627" s="2" t="str">
        <f>"FES1162768014"</f>
        <v>FES1162768014</v>
      </c>
      <c r="C627" s="2" t="s">
        <v>411</v>
      </c>
      <c r="D627" s="2">
        <v>1</v>
      </c>
      <c r="E627" s="2" t="str">
        <f>"2170751026"</f>
        <v>2170751026</v>
      </c>
      <c r="F627" s="2" t="s">
        <v>17</v>
      </c>
      <c r="G627" s="2" t="s">
        <v>18</v>
      </c>
      <c r="H627" s="2" t="s">
        <v>18</v>
      </c>
      <c r="I627" s="2" t="s">
        <v>57</v>
      </c>
      <c r="J627" s="2" t="s">
        <v>475</v>
      </c>
      <c r="K627" s="2" t="s">
        <v>510</v>
      </c>
      <c r="L627" s="3">
        <v>0.3125</v>
      </c>
      <c r="M627" s="2" t="s">
        <v>740</v>
      </c>
      <c r="N627" s="2" t="s">
        <v>500</v>
      </c>
      <c r="O627" s="2"/>
    </row>
    <row r="628" spans="1:15" x14ac:dyDescent="0.25">
      <c r="A628" s="2" t="s">
        <v>15</v>
      </c>
      <c r="B628" s="2" t="str">
        <f>"FES1162768155"</f>
        <v>FES1162768155</v>
      </c>
      <c r="C628" s="2" t="s">
        <v>411</v>
      </c>
      <c r="D628" s="2">
        <v>1</v>
      </c>
      <c r="E628" s="2" t="str">
        <f>"2170755972"</f>
        <v>2170755972</v>
      </c>
      <c r="F628" s="2" t="s">
        <v>17</v>
      </c>
      <c r="G628" s="2" t="s">
        <v>18</v>
      </c>
      <c r="H628" s="2" t="s">
        <v>18</v>
      </c>
      <c r="I628" s="2" t="s">
        <v>57</v>
      </c>
      <c r="J628" s="2" t="s">
        <v>58</v>
      </c>
      <c r="K628" s="2" t="s">
        <v>510</v>
      </c>
      <c r="L628" s="3">
        <v>0.40416666666666662</v>
      </c>
      <c r="M628" s="2" t="s">
        <v>741</v>
      </c>
      <c r="N628" s="2" t="s">
        <v>500</v>
      </c>
      <c r="O628" s="2"/>
    </row>
    <row r="629" spans="1:15" x14ac:dyDescent="0.25">
      <c r="A629" s="2" t="s">
        <v>15</v>
      </c>
      <c r="B629" s="2" t="str">
        <f>"FES1162768190"</f>
        <v>FES1162768190</v>
      </c>
      <c r="C629" s="2" t="s">
        <v>411</v>
      </c>
      <c r="D629" s="2">
        <v>1</v>
      </c>
      <c r="E629" s="2" t="str">
        <f>"2170756084"</f>
        <v>2170756084</v>
      </c>
      <c r="F629" s="2" t="s">
        <v>17</v>
      </c>
      <c r="G629" s="2" t="s">
        <v>18</v>
      </c>
      <c r="H629" s="2" t="s">
        <v>33</v>
      </c>
      <c r="I629" s="2" t="s">
        <v>34</v>
      </c>
      <c r="J629" s="2" t="s">
        <v>317</v>
      </c>
      <c r="K629" s="2" t="s">
        <v>510</v>
      </c>
      <c r="L629" s="3">
        <v>0.39374999999999999</v>
      </c>
      <c r="M629" s="2" t="s">
        <v>716</v>
      </c>
      <c r="N629" s="2" t="s">
        <v>500</v>
      </c>
      <c r="O629" s="2"/>
    </row>
    <row r="630" spans="1:15" x14ac:dyDescent="0.25">
      <c r="A630" s="2" t="s">
        <v>15</v>
      </c>
      <c r="B630" s="2" t="str">
        <f>"FES1162768242"</f>
        <v>FES1162768242</v>
      </c>
      <c r="C630" s="2" t="s">
        <v>411</v>
      </c>
      <c r="D630" s="2">
        <v>1</v>
      </c>
      <c r="E630" s="2" t="str">
        <f>"2170750266"</f>
        <v>2170750266</v>
      </c>
      <c r="F630" s="2" t="s">
        <v>17</v>
      </c>
      <c r="G630" s="2" t="s">
        <v>18</v>
      </c>
      <c r="H630" s="2" t="s">
        <v>18</v>
      </c>
      <c r="I630" s="2" t="s">
        <v>157</v>
      </c>
      <c r="J630" s="2" t="s">
        <v>664</v>
      </c>
      <c r="K630" s="2" t="s">
        <v>510</v>
      </c>
      <c r="L630" s="3">
        <v>0.42708333333333331</v>
      </c>
      <c r="M630" s="2" t="s">
        <v>742</v>
      </c>
      <c r="N630" s="2" t="s">
        <v>500</v>
      </c>
      <c r="O630" s="2"/>
    </row>
    <row r="631" spans="1:15" x14ac:dyDescent="0.25">
      <c r="A631" s="2" t="s">
        <v>15</v>
      </c>
      <c r="B631" s="2" t="str">
        <f>"FES1162768021"</f>
        <v>FES1162768021</v>
      </c>
      <c r="C631" s="2" t="s">
        <v>411</v>
      </c>
      <c r="D631" s="2">
        <v>1</v>
      </c>
      <c r="E631" s="2" t="str">
        <f>"2170752630"</f>
        <v>2170752630</v>
      </c>
      <c r="F631" s="2" t="s">
        <v>17</v>
      </c>
      <c r="G631" s="2" t="s">
        <v>18</v>
      </c>
      <c r="H631" s="2" t="s">
        <v>36</v>
      </c>
      <c r="I631" s="2" t="s">
        <v>37</v>
      </c>
      <c r="J631" s="2" t="s">
        <v>162</v>
      </c>
      <c r="K631" s="2" t="s">
        <v>510</v>
      </c>
      <c r="L631" s="3">
        <v>0.47152777777777777</v>
      </c>
      <c r="M631" s="2" t="s">
        <v>268</v>
      </c>
      <c r="N631" s="2" t="s">
        <v>500</v>
      </c>
      <c r="O631" s="2"/>
    </row>
    <row r="632" spans="1:15" x14ac:dyDescent="0.25">
      <c r="A632" s="2" t="s">
        <v>15</v>
      </c>
      <c r="B632" s="2" t="str">
        <f>"FES1162768159"</f>
        <v>FES1162768159</v>
      </c>
      <c r="C632" s="2" t="s">
        <v>411</v>
      </c>
      <c r="D632" s="2">
        <v>1</v>
      </c>
      <c r="E632" s="2" t="str">
        <f>"2170756038"</f>
        <v>2170756038</v>
      </c>
      <c r="F632" s="2" t="s">
        <v>17</v>
      </c>
      <c r="G632" s="2" t="s">
        <v>18</v>
      </c>
      <c r="H632" s="2" t="s">
        <v>18</v>
      </c>
      <c r="I632" s="2" t="s">
        <v>57</v>
      </c>
      <c r="J632" s="2" t="s">
        <v>298</v>
      </c>
      <c r="K632" s="2" t="s">
        <v>510</v>
      </c>
      <c r="L632" s="3">
        <v>0.33124999999999999</v>
      </c>
      <c r="M632" s="2" t="s">
        <v>530</v>
      </c>
      <c r="N632" s="2" t="s">
        <v>500</v>
      </c>
      <c r="O632" s="2"/>
    </row>
    <row r="633" spans="1:15" x14ac:dyDescent="0.25">
      <c r="A633" s="2" t="s">
        <v>15</v>
      </c>
      <c r="B633" s="2" t="str">
        <f>"FES1162768257"</f>
        <v>FES1162768257</v>
      </c>
      <c r="C633" s="2" t="s">
        <v>411</v>
      </c>
      <c r="D633" s="2">
        <v>1</v>
      </c>
      <c r="E633" s="2" t="str">
        <f>"2170756136"</f>
        <v>2170756136</v>
      </c>
      <c r="F633" s="2" t="s">
        <v>17</v>
      </c>
      <c r="G633" s="2" t="s">
        <v>18</v>
      </c>
      <c r="H633" s="2" t="s">
        <v>25</v>
      </c>
      <c r="I633" s="2" t="s">
        <v>624</v>
      </c>
      <c r="J633" s="2" t="s">
        <v>625</v>
      </c>
      <c r="K633" s="2" t="s">
        <v>698</v>
      </c>
      <c r="L633" s="3">
        <v>0.72222222222222221</v>
      </c>
      <c r="M633" s="2" t="s">
        <v>625</v>
      </c>
      <c r="N633" s="2" t="s">
        <v>500</v>
      </c>
      <c r="O633" s="2"/>
    </row>
    <row r="634" spans="1:15" x14ac:dyDescent="0.25">
      <c r="A634" s="2" t="s">
        <v>15</v>
      </c>
      <c r="B634" s="2" t="str">
        <f>"FES1162768234"</f>
        <v>FES1162768234</v>
      </c>
      <c r="C634" s="2" t="s">
        <v>411</v>
      </c>
      <c r="D634" s="2">
        <v>1</v>
      </c>
      <c r="E634" s="2" t="str">
        <f>"2170756122"</f>
        <v>2170756122</v>
      </c>
      <c r="F634" s="2" t="s">
        <v>17</v>
      </c>
      <c r="G634" s="2" t="s">
        <v>18</v>
      </c>
      <c r="H634" s="2" t="s">
        <v>78</v>
      </c>
      <c r="I634" s="2" t="s">
        <v>79</v>
      </c>
      <c r="J634" s="2" t="s">
        <v>80</v>
      </c>
      <c r="K634" s="2" t="s">
        <v>510</v>
      </c>
      <c r="L634" s="3">
        <v>0.44097222222222227</v>
      </c>
      <c r="M634" s="2" t="s">
        <v>199</v>
      </c>
      <c r="N634" s="2" t="s">
        <v>500</v>
      </c>
      <c r="O634" s="2"/>
    </row>
    <row r="635" spans="1:15" x14ac:dyDescent="0.25">
      <c r="A635" s="2" t="s">
        <v>15</v>
      </c>
      <c r="B635" s="2" t="str">
        <f>"FES1162768189"</f>
        <v>FES1162768189</v>
      </c>
      <c r="C635" s="2" t="s">
        <v>411</v>
      </c>
      <c r="D635" s="2">
        <v>1</v>
      </c>
      <c r="E635" s="2" t="str">
        <f>"2170756082"</f>
        <v>2170756082</v>
      </c>
      <c r="F635" s="2" t="s">
        <v>17</v>
      </c>
      <c r="G635" s="2" t="s">
        <v>18</v>
      </c>
      <c r="H635" s="2" t="s">
        <v>33</v>
      </c>
      <c r="I635" s="2" t="s">
        <v>34</v>
      </c>
      <c r="J635" s="2" t="s">
        <v>400</v>
      </c>
      <c r="K635" s="2" t="s">
        <v>510</v>
      </c>
      <c r="L635" s="3">
        <v>0.43333333333333335</v>
      </c>
      <c r="M635" s="2" t="s">
        <v>706</v>
      </c>
      <c r="N635" s="2" t="s">
        <v>500</v>
      </c>
      <c r="O635" s="2"/>
    </row>
    <row r="636" spans="1:15" x14ac:dyDescent="0.25">
      <c r="A636" s="2" t="s">
        <v>15</v>
      </c>
      <c r="B636" s="2" t="str">
        <f>"FES1162768119"</f>
        <v>FES1162768119</v>
      </c>
      <c r="C636" s="2" t="s">
        <v>411</v>
      </c>
      <c r="D636" s="2">
        <v>1</v>
      </c>
      <c r="E636" s="2" t="str">
        <f>"2170756009"</f>
        <v>2170756009</v>
      </c>
      <c r="F636" s="2" t="s">
        <v>17</v>
      </c>
      <c r="G636" s="2" t="s">
        <v>18</v>
      </c>
      <c r="H636" s="2" t="s">
        <v>88</v>
      </c>
      <c r="I636" s="2" t="s">
        <v>109</v>
      </c>
      <c r="J636" s="2" t="s">
        <v>638</v>
      </c>
      <c r="K636" s="2" t="s">
        <v>510</v>
      </c>
      <c r="L636" s="3">
        <v>0.4236111111111111</v>
      </c>
      <c r="M636" s="2" t="s">
        <v>705</v>
      </c>
      <c r="N636" s="2" t="s">
        <v>500</v>
      </c>
      <c r="O636" s="2"/>
    </row>
    <row r="637" spans="1:15" x14ac:dyDescent="0.25">
      <c r="A637" s="2" t="s">
        <v>15</v>
      </c>
      <c r="B637" s="2" t="str">
        <f>"FES1162768221"</f>
        <v>FES1162768221</v>
      </c>
      <c r="C637" s="2" t="s">
        <v>411</v>
      </c>
      <c r="D637" s="2">
        <v>1</v>
      </c>
      <c r="E637" s="2" t="str">
        <f>"2170756111"</f>
        <v>2170756111</v>
      </c>
      <c r="F637" s="2" t="s">
        <v>17</v>
      </c>
      <c r="G637" s="2" t="s">
        <v>18</v>
      </c>
      <c r="H637" s="2" t="s">
        <v>19</v>
      </c>
      <c r="I637" s="2" t="s">
        <v>20</v>
      </c>
      <c r="J637" s="2" t="s">
        <v>21</v>
      </c>
      <c r="K637" s="2" t="s">
        <v>510</v>
      </c>
      <c r="L637" s="3">
        <v>0.38194444444444442</v>
      </c>
      <c r="M637" s="2" t="s">
        <v>682</v>
      </c>
      <c r="N637" s="2" t="s">
        <v>500</v>
      </c>
      <c r="O637" s="2"/>
    </row>
    <row r="638" spans="1:15" x14ac:dyDescent="0.25">
      <c r="A638" s="2" t="s">
        <v>15</v>
      </c>
      <c r="B638" s="2" t="str">
        <f>"FES1162768203"</f>
        <v>FES1162768203</v>
      </c>
      <c r="C638" s="2" t="s">
        <v>411</v>
      </c>
      <c r="D638" s="2">
        <v>1</v>
      </c>
      <c r="E638" s="2" t="str">
        <f>"2170755067"</f>
        <v>2170755067</v>
      </c>
      <c r="F638" s="2" t="s">
        <v>17</v>
      </c>
      <c r="G638" s="2" t="s">
        <v>18</v>
      </c>
      <c r="H638" s="2" t="s">
        <v>19</v>
      </c>
      <c r="I638" s="2" t="s">
        <v>20</v>
      </c>
      <c r="J638" s="2" t="s">
        <v>77</v>
      </c>
      <c r="K638" s="2" t="s">
        <v>510</v>
      </c>
      <c r="L638" s="3">
        <v>0.36041666666666666</v>
      </c>
      <c r="M638" s="2" t="s">
        <v>198</v>
      </c>
      <c r="N638" s="2" t="s">
        <v>500</v>
      </c>
      <c r="O638" s="2"/>
    </row>
    <row r="639" spans="1:15" x14ac:dyDescent="0.25">
      <c r="A639" s="2" t="s">
        <v>15</v>
      </c>
      <c r="B639" s="2" t="str">
        <f>"FES1162768088"</f>
        <v>FES1162768088</v>
      </c>
      <c r="C639" s="2" t="s">
        <v>411</v>
      </c>
      <c r="D639" s="2">
        <v>2</v>
      </c>
      <c r="E639" s="2" t="str">
        <f>"2170747378"</f>
        <v>2170747378</v>
      </c>
      <c r="F639" s="2" t="s">
        <v>17</v>
      </c>
      <c r="G639" s="2" t="s">
        <v>18</v>
      </c>
      <c r="H639" s="2" t="s">
        <v>36</v>
      </c>
      <c r="I639" s="2" t="s">
        <v>37</v>
      </c>
      <c r="J639" s="2" t="s">
        <v>55</v>
      </c>
      <c r="K639" s="2" t="s">
        <v>510</v>
      </c>
      <c r="L639" s="3">
        <v>0.41666666666666669</v>
      </c>
      <c r="M639" s="2" t="s">
        <v>305</v>
      </c>
      <c r="N639" s="2" t="s">
        <v>500</v>
      </c>
      <c r="O639" s="2"/>
    </row>
    <row r="640" spans="1:15" x14ac:dyDescent="0.25">
      <c r="A640" s="2" t="s">
        <v>15</v>
      </c>
      <c r="B640" s="2" t="str">
        <f>"FES1162768259"</f>
        <v>FES1162768259</v>
      </c>
      <c r="C640" s="2" t="s">
        <v>411</v>
      </c>
      <c r="D640" s="2">
        <v>2</v>
      </c>
      <c r="E640" s="2" t="str">
        <f>"2170756142"</f>
        <v>2170756142</v>
      </c>
      <c r="F640" s="2" t="s">
        <v>17</v>
      </c>
      <c r="G640" s="2" t="s">
        <v>18</v>
      </c>
      <c r="H640" s="2" t="s">
        <v>18</v>
      </c>
      <c r="I640" s="2" t="s">
        <v>478</v>
      </c>
      <c r="J640" s="2" t="s">
        <v>498</v>
      </c>
      <c r="K640" s="2" t="s">
        <v>698</v>
      </c>
      <c r="L640" s="3">
        <v>0.33749999999999997</v>
      </c>
      <c r="M640" s="2" t="s">
        <v>810</v>
      </c>
      <c r="N640" s="2" t="s">
        <v>500</v>
      </c>
      <c r="O640" s="2"/>
    </row>
    <row r="641" spans="1:15" x14ac:dyDescent="0.25">
      <c r="A641" s="2" t="s">
        <v>15</v>
      </c>
      <c r="B641" s="2" t="str">
        <f>"FES1162768194"</f>
        <v>FES1162768194</v>
      </c>
      <c r="C641" s="2" t="s">
        <v>411</v>
      </c>
      <c r="D641" s="2">
        <v>1</v>
      </c>
      <c r="E641" s="2" t="str">
        <f>"2170756077"</f>
        <v>2170756077</v>
      </c>
      <c r="F641" s="2" t="s">
        <v>17</v>
      </c>
      <c r="G641" s="2" t="s">
        <v>18</v>
      </c>
      <c r="H641" s="2" t="s">
        <v>18</v>
      </c>
      <c r="I641" s="2" t="s">
        <v>290</v>
      </c>
      <c r="J641" s="2" t="s">
        <v>458</v>
      </c>
      <c r="K641" s="2" t="s">
        <v>510</v>
      </c>
      <c r="L641" s="3">
        <v>0.375</v>
      </c>
      <c r="M641" s="2" t="s">
        <v>710</v>
      </c>
      <c r="N641" s="2" t="s">
        <v>500</v>
      </c>
      <c r="O641" s="2"/>
    </row>
    <row r="642" spans="1:15" x14ac:dyDescent="0.25">
      <c r="A642" s="2" t="s">
        <v>15</v>
      </c>
      <c r="B642" s="2" t="str">
        <f>"FES1162768117"</f>
        <v>FES1162768117</v>
      </c>
      <c r="C642" s="2" t="s">
        <v>411</v>
      </c>
      <c r="D642" s="2">
        <v>1</v>
      </c>
      <c r="E642" s="2" t="str">
        <f>"2170756007"</f>
        <v>2170756007</v>
      </c>
      <c r="F642" s="2" t="s">
        <v>17</v>
      </c>
      <c r="G642" s="2" t="s">
        <v>18</v>
      </c>
      <c r="H642" s="2" t="s">
        <v>88</v>
      </c>
      <c r="I642" s="2" t="s">
        <v>109</v>
      </c>
      <c r="J642" s="2" t="s">
        <v>638</v>
      </c>
      <c r="K642" s="2" t="s">
        <v>510</v>
      </c>
      <c r="L642" s="3">
        <v>0.42708333333333331</v>
      </c>
      <c r="M642" s="2" t="s">
        <v>743</v>
      </c>
      <c r="N642" s="2" t="s">
        <v>500</v>
      </c>
      <c r="O642" s="2"/>
    </row>
    <row r="643" spans="1:15" x14ac:dyDescent="0.25">
      <c r="A643" s="2" t="s">
        <v>15</v>
      </c>
      <c r="B643" s="2" t="str">
        <f>"FES1162768164"</f>
        <v>FES1162768164</v>
      </c>
      <c r="C643" s="2" t="s">
        <v>411</v>
      </c>
      <c r="D643" s="2">
        <v>1</v>
      </c>
      <c r="E643" s="2" t="str">
        <f>"2170756049"</f>
        <v>2170756049</v>
      </c>
      <c r="F643" s="2" t="s">
        <v>17</v>
      </c>
      <c r="G643" s="2" t="s">
        <v>18</v>
      </c>
      <c r="H643" s="2" t="s">
        <v>19</v>
      </c>
      <c r="I643" s="2" t="s">
        <v>111</v>
      </c>
      <c r="J643" s="2" t="s">
        <v>405</v>
      </c>
      <c r="K643" s="2" t="s">
        <v>510</v>
      </c>
      <c r="L643" s="3">
        <v>0.3576388888888889</v>
      </c>
      <c r="M643" s="2" t="s">
        <v>714</v>
      </c>
      <c r="N643" s="2" t="s">
        <v>500</v>
      </c>
      <c r="O643" s="2"/>
    </row>
    <row r="644" spans="1:15" x14ac:dyDescent="0.25">
      <c r="A644" s="2" t="s">
        <v>15</v>
      </c>
      <c r="B644" s="2" t="str">
        <f>"FES1162768090"</f>
        <v>FES1162768090</v>
      </c>
      <c r="C644" s="2" t="s">
        <v>411</v>
      </c>
      <c r="D644" s="2">
        <v>1</v>
      </c>
      <c r="E644" s="2" t="str">
        <f>"2170751017"</f>
        <v>2170751017</v>
      </c>
      <c r="F644" s="2" t="s">
        <v>17</v>
      </c>
      <c r="G644" s="2" t="s">
        <v>18</v>
      </c>
      <c r="H644" s="2" t="s">
        <v>18</v>
      </c>
      <c r="I644" s="2" t="s">
        <v>50</v>
      </c>
      <c r="J644" s="2" t="s">
        <v>665</v>
      </c>
      <c r="K644" s="2" t="s">
        <v>510</v>
      </c>
      <c r="L644" s="3">
        <v>0.375</v>
      </c>
      <c r="M644" s="2" t="s">
        <v>744</v>
      </c>
      <c r="N644" s="2" t="s">
        <v>500</v>
      </c>
      <c r="O644" s="2"/>
    </row>
    <row r="645" spans="1:15" x14ac:dyDescent="0.25">
      <c r="A645" s="2" t="s">
        <v>15</v>
      </c>
      <c r="B645" s="2" t="str">
        <f>"FES1162768036"</f>
        <v>FES1162768036</v>
      </c>
      <c r="C645" s="2" t="s">
        <v>411</v>
      </c>
      <c r="D645" s="2">
        <v>1</v>
      </c>
      <c r="E645" s="2" t="str">
        <f>"2170754471"</f>
        <v>2170754471</v>
      </c>
      <c r="F645" s="2" t="s">
        <v>17</v>
      </c>
      <c r="G645" s="2" t="s">
        <v>18</v>
      </c>
      <c r="H645" s="2" t="s">
        <v>19</v>
      </c>
      <c r="I645" s="2" t="s">
        <v>111</v>
      </c>
      <c r="J645" s="2" t="s">
        <v>405</v>
      </c>
      <c r="K645" s="2" t="s">
        <v>510</v>
      </c>
      <c r="L645" s="3">
        <v>0.35833333333333334</v>
      </c>
      <c r="M645" s="2" t="s">
        <v>714</v>
      </c>
      <c r="N645" s="2" t="s">
        <v>500</v>
      </c>
      <c r="O645" s="2"/>
    </row>
    <row r="646" spans="1:15" x14ac:dyDescent="0.25">
      <c r="A646" s="2" t="s">
        <v>15</v>
      </c>
      <c r="B646" s="2" t="str">
        <f>"FES1162768272"</f>
        <v>FES1162768272</v>
      </c>
      <c r="C646" s="2" t="s">
        <v>411</v>
      </c>
      <c r="D646" s="2">
        <v>1</v>
      </c>
      <c r="E646" s="2" t="str">
        <f>"2170756157"</f>
        <v>2170756157</v>
      </c>
      <c r="F646" s="2" t="s">
        <v>17</v>
      </c>
      <c r="G646" s="2" t="s">
        <v>18</v>
      </c>
      <c r="H646" s="2" t="s">
        <v>25</v>
      </c>
      <c r="I646" s="2" t="s">
        <v>26</v>
      </c>
      <c r="J646" s="2" t="s">
        <v>75</v>
      </c>
      <c r="K646" s="2" t="s">
        <v>510</v>
      </c>
      <c r="L646" s="3">
        <v>0.36041666666666666</v>
      </c>
      <c r="M646" s="2" t="s">
        <v>677</v>
      </c>
      <c r="N646" s="2" t="s">
        <v>500</v>
      </c>
      <c r="O646" s="2"/>
    </row>
    <row r="647" spans="1:15" x14ac:dyDescent="0.25">
      <c r="A647" s="2" t="s">
        <v>15</v>
      </c>
      <c r="B647" s="2" t="str">
        <f>"FES1162768274"</f>
        <v>FES1162768274</v>
      </c>
      <c r="C647" s="2" t="s">
        <v>411</v>
      </c>
      <c r="D647" s="2">
        <v>1</v>
      </c>
      <c r="E647" s="2" t="str">
        <f>"2170756159"</f>
        <v>2170756159</v>
      </c>
      <c r="F647" s="2" t="s">
        <v>17</v>
      </c>
      <c r="G647" s="2" t="s">
        <v>18</v>
      </c>
      <c r="H647" s="2" t="s">
        <v>25</v>
      </c>
      <c r="I647" s="2" t="s">
        <v>26</v>
      </c>
      <c r="J647" s="2" t="s">
        <v>353</v>
      </c>
      <c r="K647" s="2" t="s">
        <v>698</v>
      </c>
      <c r="L647" s="3">
        <v>0.41666666666666669</v>
      </c>
      <c r="M647" s="2" t="s">
        <v>922</v>
      </c>
      <c r="N647" s="2" t="s">
        <v>500</v>
      </c>
      <c r="O647" s="2"/>
    </row>
    <row r="648" spans="1:15" x14ac:dyDescent="0.25">
      <c r="A648" s="2" t="s">
        <v>15</v>
      </c>
      <c r="B648" s="2" t="str">
        <f>"FES1162768256"</f>
        <v>FES1162768256</v>
      </c>
      <c r="C648" s="2" t="s">
        <v>411</v>
      </c>
      <c r="D648" s="2">
        <v>1</v>
      </c>
      <c r="E648" s="2" t="str">
        <f>"2170756138"</f>
        <v>2170756138</v>
      </c>
      <c r="F648" s="2" t="s">
        <v>17</v>
      </c>
      <c r="G648" s="2" t="s">
        <v>18</v>
      </c>
      <c r="H648" s="2" t="s">
        <v>19</v>
      </c>
      <c r="I648" s="2" t="s">
        <v>149</v>
      </c>
      <c r="J648" s="2" t="s">
        <v>150</v>
      </c>
      <c r="K648" s="2" t="s">
        <v>698</v>
      </c>
      <c r="L648" s="3">
        <v>0.62291666666666667</v>
      </c>
      <c r="M648" s="2" t="s">
        <v>805</v>
      </c>
      <c r="N648" s="2" t="s">
        <v>500</v>
      </c>
      <c r="O648" s="2"/>
    </row>
    <row r="649" spans="1:15" x14ac:dyDescent="0.25">
      <c r="A649" s="2" t="s">
        <v>15</v>
      </c>
      <c r="B649" s="2" t="str">
        <f>"FES1162768252"</f>
        <v>FES1162768252</v>
      </c>
      <c r="C649" s="2" t="s">
        <v>411</v>
      </c>
      <c r="D649" s="2">
        <v>1</v>
      </c>
      <c r="E649" s="2" t="str">
        <f>"2170756137"</f>
        <v>2170756137</v>
      </c>
      <c r="F649" s="2" t="s">
        <v>17</v>
      </c>
      <c r="G649" s="2" t="s">
        <v>18</v>
      </c>
      <c r="H649" s="2" t="s">
        <v>19</v>
      </c>
      <c r="I649" s="2" t="s">
        <v>20</v>
      </c>
      <c r="J649" s="2" t="s">
        <v>123</v>
      </c>
      <c r="K649" s="2" t="s">
        <v>510</v>
      </c>
      <c r="L649" s="3">
        <v>0.42222222222222222</v>
      </c>
      <c r="M649" s="2" t="s">
        <v>233</v>
      </c>
      <c r="N649" s="2" t="s">
        <v>500</v>
      </c>
      <c r="O649" s="2"/>
    </row>
    <row r="650" spans="1:15" x14ac:dyDescent="0.25">
      <c r="A650" s="2" t="s">
        <v>15</v>
      </c>
      <c r="B650" s="2" t="str">
        <f>"FES1162768132"</f>
        <v>FES1162768132</v>
      </c>
      <c r="C650" s="2" t="s">
        <v>411</v>
      </c>
      <c r="D650" s="2">
        <v>1</v>
      </c>
      <c r="E650" s="2" t="str">
        <f>"2170753245"</f>
        <v>2170753245</v>
      </c>
      <c r="F650" s="2" t="s">
        <v>17</v>
      </c>
      <c r="G650" s="2" t="s">
        <v>18</v>
      </c>
      <c r="H650" s="2" t="s">
        <v>36</v>
      </c>
      <c r="I650" s="2" t="s">
        <v>37</v>
      </c>
      <c r="J650" s="2" t="s">
        <v>162</v>
      </c>
      <c r="K650" s="2" t="s">
        <v>510</v>
      </c>
      <c r="L650" s="3">
        <v>0.34027777777777773</v>
      </c>
      <c r="M650" s="2" t="s">
        <v>268</v>
      </c>
      <c r="N650" s="2" t="s">
        <v>500</v>
      </c>
      <c r="O650" s="2"/>
    </row>
    <row r="651" spans="1:15" x14ac:dyDescent="0.25">
      <c r="A651" s="2" t="s">
        <v>15</v>
      </c>
      <c r="B651" s="2" t="str">
        <f>"FES1162768025"</f>
        <v>FES1162768025</v>
      </c>
      <c r="C651" s="2" t="s">
        <v>411</v>
      </c>
      <c r="D651" s="2">
        <v>1</v>
      </c>
      <c r="E651" s="2" t="str">
        <f>"2170752815"</f>
        <v>2170752815</v>
      </c>
      <c r="F651" s="2" t="s">
        <v>17</v>
      </c>
      <c r="G651" s="2" t="s">
        <v>18</v>
      </c>
      <c r="H651" s="2" t="s">
        <v>36</v>
      </c>
      <c r="I651" s="2" t="s">
        <v>37</v>
      </c>
      <c r="J651" s="2" t="s">
        <v>162</v>
      </c>
      <c r="K651" s="2" t="s">
        <v>510</v>
      </c>
      <c r="L651" s="3">
        <v>0.47152777777777777</v>
      </c>
      <c r="M651" s="2" t="s">
        <v>268</v>
      </c>
      <c r="N651" s="2" t="s">
        <v>500</v>
      </c>
      <c r="O651" s="2"/>
    </row>
    <row r="652" spans="1:15" x14ac:dyDescent="0.25">
      <c r="A652" s="2" t="s">
        <v>15</v>
      </c>
      <c r="B652" s="2" t="str">
        <f>"FES1162768093"</f>
        <v>FES1162768093</v>
      </c>
      <c r="C652" s="2" t="s">
        <v>411</v>
      </c>
      <c r="D652" s="2">
        <v>1</v>
      </c>
      <c r="E652" s="2" t="str">
        <f>"2170751696"</f>
        <v>2170751696</v>
      </c>
      <c r="F652" s="2" t="s">
        <v>17</v>
      </c>
      <c r="G652" s="2" t="s">
        <v>18</v>
      </c>
      <c r="H652" s="2" t="s">
        <v>206</v>
      </c>
      <c r="I652" s="2" t="s">
        <v>65</v>
      </c>
      <c r="J652" s="2" t="s">
        <v>66</v>
      </c>
      <c r="K652" s="2" t="s">
        <v>510</v>
      </c>
      <c r="L652" s="3">
        <v>0.33333333333333331</v>
      </c>
      <c r="M652" s="2" t="s">
        <v>697</v>
      </c>
      <c r="N652" s="2" t="s">
        <v>500</v>
      </c>
      <c r="O652" s="2"/>
    </row>
    <row r="653" spans="1:15" x14ac:dyDescent="0.25">
      <c r="A653" s="2" t="s">
        <v>15</v>
      </c>
      <c r="B653" s="2" t="str">
        <f>"FES1162768071"</f>
        <v>FES1162768071</v>
      </c>
      <c r="C653" s="2" t="s">
        <v>411</v>
      </c>
      <c r="D653" s="2">
        <v>2</v>
      </c>
      <c r="E653" s="2" t="str">
        <f>"2170755974"</f>
        <v>2170755974</v>
      </c>
      <c r="F653" s="2" t="s">
        <v>17</v>
      </c>
      <c r="G653" s="2" t="s">
        <v>18</v>
      </c>
      <c r="H653" s="2" t="s">
        <v>18</v>
      </c>
      <c r="I653" s="2" t="s">
        <v>46</v>
      </c>
      <c r="J653" s="2" t="s">
        <v>59</v>
      </c>
      <c r="K653" s="2" t="s">
        <v>510</v>
      </c>
      <c r="L653" s="3">
        <v>0.33055555555555555</v>
      </c>
      <c r="M653" s="2" t="s">
        <v>678</v>
      </c>
      <c r="N653" s="2" t="s">
        <v>500</v>
      </c>
      <c r="O653" s="2"/>
    </row>
    <row r="654" spans="1:15" x14ac:dyDescent="0.25">
      <c r="A654" s="2" t="s">
        <v>15</v>
      </c>
      <c r="B654" s="2" t="str">
        <f>"FES1162768264"</f>
        <v>FES1162768264</v>
      </c>
      <c r="C654" s="2" t="s">
        <v>411</v>
      </c>
      <c r="D654" s="2">
        <v>1</v>
      </c>
      <c r="E654" s="2" t="str">
        <f>"2170756146"</f>
        <v>2170756146</v>
      </c>
      <c r="F654" s="2" t="s">
        <v>17</v>
      </c>
      <c r="G654" s="2" t="s">
        <v>18</v>
      </c>
      <c r="H654" s="2" t="s">
        <v>19</v>
      </c>
      <c r="I654" s="2" t="s">
        <v>20</v>
      </c>
      <c r="J654" s="2" t="s">
        <v>666</v>
      </c>
      <c r="K654" s="2" t="s">
        <v>510</v>
      </c>
      <c r="L654" s="3">
        <v>0.42638888888888887</v>
      </c>
      <c r="M654" s="2" t="s">
        <v>745</v>
      </c>
      <c r="N654" s="2" t="s">
        <v>500</v>
      </c>
      <c r="O654" s="2"/>
    </row>
    <row r="655" spans="1:15" x14ac:dyDescent="0.25">
      <c r="A655" s="2" t="s">
        <v>15</v>
      </c>
      <c r="B655" s="2" t="str">
        <f>"FES1162768265"</f>
        <v>FES1162768265</v>
      </c>
      <c r="C655" s="2" t="s">
        <v>411</v>
      </c>
      <c r="D655" s="2">
        <v>1</v>
      </c>
      <c r="E655" s="2" t="str">
        <f>"2170756147"</f>
        <v>2170756147</v>
      </c>
      <c r="F655" s="2" t="s">
        <v>17</v>
      </c>
      <c r="G655" s="2" t="s">
        <v>18</v>
      </c>
      <c r="H655" s="2" t="s">
        <v>18</v>
      </c>
      <c r="I655" s="2" t="s">
        <v>57</v>
      </c>
      <c r="J655" s="2" t="s">
        <v>92</v>
      </c>
      <c r="K655" s="2" t="s">
        <v>510</v>
      </c>
      <c r="L655" s="3">
        <v>0.43124999999999997</v>
      </c>
      <c r="M655" s="2" t="s">
        <v>746</v>
      </c>
      <c r="N655" s="2" t="s">
        <v>500</v>
      </c>
      <c r="O655" s="2"/>
    </row>
    <row r="656" spans="1:15" x14ac:dyDescent="0.25">
      <c r="A656" s="2" t="s">
        <v>15</v>
      </c>
      <c r="B656" s="2" t="str">
        <f>"FES1162768262"</f>
        <v>FES1162768262</v>
      </c>
      <c r="C656" s="2" t="s">
        <v>411</v>
      </c>
      <c r="D656" s="2">
        <v>1</v>
      </c>
      <c r="E656" s="2" t="str">
        <f>"2170756144"</f>
        <v>2170756144</v>
      </c>
      <c r="F656" s="2" t="s">
        <v>17</v>
      </c>
      <c r="G656" s="2" t="s">
        <v>18</v>
      </c>
      <c r="H656" s="2" t="s">
        <v>25</v>
      </c>
      <c r="I656" s="2" t="s">
        <v>26</v>
      </c>
      <c r="J656" s="2" t="s">
        <v>100</v>
      </c>
      <c r="K656" s="2" t="s">
        <v>510</v>
      </c>
      <c r="L656" s="3">
        <v>0.3430555555555555</v>
      </c>
      <c r="M656" s="2" t="s">
        <v>640</v>
      </c>
      <c r="N656" s="2" t="s">
        <v>500</v>
      </c>
      <c r="O656" s="2"/>
    </row>
    <row r="657" spans="1:15" x14ac:dyDescent="0.25">
      <c r="A657" s="2" t="s">
        <v>15</v>
      </c>
      <c r="B657" s="2" t="str">
        <f>"FES1162768279"</f>
        <v>FES1162768279</v>
      </c>
      <c r="C657" s="2" t="s">
        <v>411</v>
      </c>
      <c r="D657" s="2">
        <v>1</v>
      </c>
      <c r="E657" s="2" t="str">
        <f>"2170756170"</f>
        <v>2170756170</v>
      </c>
      <c r="F657" s="2" t="s">
        <v>17</v>
      </c>
      <c r="G657" s="2" t="s">
        <v>18</v>
      </c>
      <c r="H657" s="2" t="s">
        <v>19</v>
      </c>
      <c r="I657" s="2" t="s">
        <v>20</v>
      </c>
      <c r="J657" s="2" t="s">
        <v>21</v>
      </c>
      <c r="K657" s="2" t="s">
        <v>510</v>
      </c>
      <c r="L657" s="3">
        <v>0.38194444444444442</v>
      </c>
      <c r="M657" s="2" t="s">
        <v>682</v>
      </c>
      <c r="N657" s="2" t="s">
        <v>500</v>
      </c>
      <c r="O657" s="2"/>
    </row>
    <row r="658" spans="1:15" x14ac:dyDescent="0.25">
      <c r="A658" s="2" t="s">
        <v>15</v>
      </c>
      <c r="B658" s="2" t="str">
        <f>"FES1162768278"</f>
        <v>FES1162768278</v>
      </c>
      <c r="C658" s="2" t="s">
        <v>411</v>
      </c>
      <c r="D658" s="2">
        <v>1</v>
      </c>
      <c r="E658" s="2" t="str">
        <f>"2170756169"</f>
        <v>2170756169</v>
      </c>
      <c r="F658" s="2" t="s">
        <v>17</v>
      </c>
      <c r="G658" s="2" t="s">
        <v>18</v>
      </c>
      <c r="H658" s="2" t="s">
        <v>18</v>
      </c>
      <c r="I658" s="2" t="s">
        <v>50</v>
      </c>
      <c r="J658" s="2" t="s">
        <v>667</v>
      </c>
      <c r="K658" s="2" t="s">
        <v>510</v>
      </c>
      <c r="L658" s="3">
        <v>0.35416666666666669</v>
      </c>
      <c r="M658" s="2" t="s">
        <v>747</v>
      </c>
      <c r="N658" s="2" t="s">
        <v>500</v>
      </c>
      <c r="O658" s="2"/>
    </row>
    <row r="659" spans="1:15" x14ac:dyDescent="0.25">
      <c r="A659" s="2" t="s">
        <v>15</v>
      </c>
      <c r="B659" s="2" t="str">
        <f>"FES1162768131"</f>
        <v>FES1162768131</v>
      </c>
      <c r="C659" s="2" t="s">
        <v>411</v>
      </c>
      <c r="D659" s="2">
        <v>1</v>
      </c>
      <c r="E659" s="2" t="str">
        <f>"2170753244"</f>
        <v>2170753244</v>
      </c>
      <c r="F659" s="2" t="s">
        <v>17</v>
      </c>
      <c r="G659" s="2" t="s">
        <v>18</v>
      </c>
      <c r="H659" s="2" t="s">
        <v>36</v>
      </c>
      <c r="I659" s="2" t="s">
        <v>37</v>
      </c>
      <c r="J659" s="2" t="s">
        <v>162</v>
      </c>
      <c r="K659" s="2" t="s">
        <v>510</v>
      </c>
      <c r="L659" s="3">
        <v>0.47152777777777777</v>
      </c>
      <c r="M659" s="2" t="s">
        <v>268</v>
      </c>
      <c r="N659" s="2" t="s">
        <v>500</v>
      </c>
      <c r="O659" s="2"/>
    </row>
    <row r="660" spans="1:15" x14ac:dyDescent="0.25">
      <c r="A660" s="2" t="s">
        <v>15</v>
      </c>
      <c r="B660" s="2" t="str">
        <f>"FES1162768102"</f>
        <v>FES1162768102</v>
      </c>
      <c r="C660" s="2" t="s">
        <v>411</v>
      </c>
      <c r="D660" s="2">
        <v>1</v>
      </c>
      <c r="E660" s="2" t="str">
        <f>"2170752766"</f>
        <v>2170752766</v>
      </c>
      <c r="F660" s="2" t="s">
        <v>17</v>
      </c>
      <c r="G660" s="2" t="s">
        <v>18</v>
      </c>
      <c r="H660" s="2" t="s">
        <v>36</v>
      </c>
      <c r="I660" s="2" t="s">
        <v>37</v>
      </c>
      <c r="J660" s="2" t="s">
        <v>162</v>
      </c>
      <c r="K660" s="2" t="s">
        <v>510</v>
      </c>
      <c r="L660" s="3">
        <v>0.34027777777777773</v>
      </c>
      <c r="M660" s="2" t="s">
        <v>268</v>
      </c>
      <c r="N660" s="2" t="s">
        <v>500</v>
      </c>
      <c r="O660" s="2"/>
    </row>
    <row r="661" spans="1:15" x14ac:dyDescent="0.25">
      <c r="A661" s="2" t="s">
        <v>15</v>
      </c>
      <c r="B661" s="2" t="str">
        <f>"FES1162767915"</f>
        <v>FES1162767915</v>
      </c>
      <c r="C661" s="2" t="s">
        <v>411</v>
      </c>
      <c r="D661" s="2">
        <v>1</v>
      </c>
      <c r="E661" s="2" t="str">
        <f>"2170752057"</f>
        <v>2170752057</v>
      </c>
      <c r="F661" s="2" t="s">
        <v>17</v>
      </c>
      <c r="G661" s="2" t="s">
        <v>18</v>
      </c>
      <c r="H661" s="2" t="s">
        <v>19</v>
      </c>
      <c r="I661" s="2" t="s">
        <v>20</v>
      </c>
      <c r="J661" s="2" t="s">
        <v>77</v>
      </c>
      <c r="K661" s="2" t="s">
        <v>510</v>
      </c>
      <c r="L661" s="3">
        <v>0.3611111111111111</v>
      </c>
      <c r="M661" s="2" t="s">
        <v>198</v>
      </c>
      <c r="N661" s="2" t="s">
        <v>500</v>
      </c>
      <c r="O661" s="2"/>
    </row>
    <row r="662" spans="1:15" x14ac:dyDescent="0.25">
      <c r="A662" s="2" t="s">
        <v>15</v>
      </c>
      <c r="B662" s="2" t="str">
        <f>"FES1162768273"</f>
        <v>FES1162768273</v>
      </c>
      <c r="C662" s="2" t="s">
        <v>411</v>
      </c>
      <c r="D662" s="2">
        <v>1</v>
      </c>
      <c r="E662" s="2" t="str">
        <f>"2170756158"</f>
        <v>2170756158</v>
      </c>
      <c r="F662" s="2" t="s">
        <v>17</v>
      </c>
      <c r="G662" s="2" t="s">
        <v>18</v>
      </c>
      <c r="H662" s="2" t="s">
        <v>88</v>
      </c>
      <c r="I662" s="2" t="s">
        <v>109</v>
      </c>
      <c r="J662" s="2" t="s">
        <v>452</v>
      </c>
      <c r="K662" s="2" t="s">
        <v>698</v>
      </c>
      <c r="L662" s="3">
        <v>0.4375</v>
      </c>
      <c r="M662" s="2" t="s">
        <v>366</v>
      </c>
      <c r="N662" s="2" t="s">
        <v>500</v>
      </c>
      <c r="O662" s="2"/>
    </row>
    <row r="663" spans="1:15" x14ac:dyDescent="0.25">
      <c r="A663" s="2" t="s">
        <v>15</v>
      </c>
      <c r="B663" s="2" t="str">
        <f>"FES1162768169"</f>
        <v>FES1162768169</v>
      </c>
      <c r="C663" s="2" t="s">
        <v>411</v>
      </c>
      <c r="D663" s="2">
        <v>1</v>
      </c>
      <c r="E663" s="2" t="str">
        <f>"2170756055"</f>
        <v>2170756055</v>
      </c>
      <c r="F663" s="2" t="s">
        <v>17</v>
      </c>
      <c r="G663" s="2" t="s">
        <v>18</v>
      </c>
      <c r="H663" s="2" t="s">
        <v>78</v>
      </c>
      <c r="I663" s="2" t="s">
        <v>159</v>
      </c>
      <c r="J663" s="2" t="s">
        <v>402</v>
      </c>
      <c r="K663" s="2" t="s">
        <v>510</v>
      </c>
      <c r="L663" s="3">
        <v>0.53541666666666665</v>
      </c>
      <c r="M663" s="2" t="s">
        <v>729</v>
      </c>
      <c r="N663" s="2" t="s">
        <v>500</v>
      </c>
      <c r="O663" s="2"/>
    </row>
    <row r="664" spans="1:15" x14ac:dyDescent="0.25">
      <c r="A664" s="2" t="s">
        <v>15</v>
      </c>
      <c r="B664" s="2" t="str">
        <f>"FES1162768276"</f>
        <v>FES1162768276</v>
      </c>
      <c r="C664" s="2" t="s">
        <v>411</v>
      </c>
      <c r="D664" s="2">
        <v>1</v>
      </c>
      <c r="E664" s="2" t="str">
        <f>"2170756161"</f>
        <v>2170756161</v>
      </c>
      <c r="F664" s="2" t="s">
        <v>17</v>
      </c>
      <c r="G664" s="2" t="s">
        <v>18</v>
      </c>
      <c r="H664" s="2" t="s">
        <v>18</v>
      </c>
      <c r="I664" s="2" t="s">
        <v>46</v>
      </c>
      <c r="J664" s="2" t="s">
        <v>668</v>
      </c>
      <c r="K664" s="2" t="s">
        <v>510</v>
      </c>
      <c r="L664" s="3">
        <v>0.4375</v>
      </c>
      <c r="M664" s="2" t="s">
        <v>748</v>
      </c>
      <c r="N664" s="2" t="s">
        <v>500</v>
      </c>
      <c r="O664" s="2"/>
    </row>
    <row r="665" spans="1:15" x14ac:dyDescent="0.25">
      <c r="A665" s="2" t="s">
        <v>15</v>
      </c>
      <c r="B665" s="2" t="str">
        <f>"FES1162768271"</f>
        <v>FES1162768271</v>
      </c>
      <c r="C665" s="2" t="s">
        <v>411</v>
      </c>
      <c r="D665" s="2">
        <v>1</v>
      </c>
      <c r="E665" s="2" t="str">
        <f>"2170756148"</f>
        <v>2170756148</v>
      </c>
      <c r="F665" s="2" t="s">
        <v>205</v>
      </c>
      <c r="G665" s="2" t="s">
        <v>206</v>
      </c>
      <c r="H665" s="2" t="s">
        <v>206</v>
      </c>
      <c r="I665" s="2" t="s">
        <v>57</v>
      </c>
      <c r="J665" s="2" t="s">
        <v>475</v>
      </c>
      <c r="K665" s="2" t="s">
        <v>510</v>
      </c>
      <c r="L665" s="3">
        <v>0.3125</v>
      </c>
      <c r="M665" s="2" t="s">
        <v>584</v>
      </c>
      <c r="N665" s="2" t="s">
        <v>500</v>
      </c>
      <c r="O665" s="2"/>
    </row>
    <row r="666" spans="1:15" x14ac:dyDescent="0.25">
      <c r="A666" s="2" t="s">
        <v>15</v>
      </c>
      <c r="B666" s="2" t="str">
        <f>"FES1162768196"</f>
        <v>FES1162768196</v>
      </c>
      <c r="C666" s="2" t="s">
        <v>411</v>
      </c>
      <c r="D666" s="2">
        <v>1</v>
      </c>
      <c r="E666" s="2" t="str">
        <f>"2170756086"</f>
        <v>2170756086</v>
      </c>
      <c r="F666" s="2" t="s">
        <v>17</v>
      </c>
      <c r="G666" s="2" t="s">
        <v>18</v>
      </c>
      <c r="H666" s="2" t="s">
        <v>19</v>
      </c>
      <c r="I666" s="2" t="s">
        <v>20</v>
      </c>
      <c r="J666" s="2" t="s">
        <v>166</v>
      </c>
      <c r="K666" s="2" t="s">
        <v>510</v>
      </c>
      <c r="L666" s="3">
        <v>0.44027777777777777</v>
      </c>
      <c r="M666" s="2" t="s">
        <v>749</v>
      </c>
      <c r="N666" s="2" t="s">
        <v>500</v>
      </c>
      <c r="O666" s="2"/>
    </row>
    <row r="667" spans="1:15" x14ac:dyDescent="0.25">
      <c r="A667" s="2" t="s">
        <v>15</v>
      </c>
      <c r="B667" s="2" t="str">
        <f>"FES1162768269"</f>
        <v>FES1162768269</v>
      </c>
      <c r="C667" s="2" t="s">
        <v>411</v>
      </c>
      <c r="D667" s="2">
        <v>1</v>
      </c>
      <c r="E667" s="2" t="str">
        <f>"2170756154"</f>
        <v>2170756154</v>
      </c>
      <c r="F667" s="2" t="s">
        <v>17</v>
      </c>
      <c r="G667" s="2" t="s">
        <v>18</v>
      </c>
      <c r="H667" s="2" t="s">
        <v>18</v>
      </c>
      <c r="I667" s="2" t="s">
        <v>63</v>
      </c>
      <c r="J667" s="2" t="s">
        <v>93</v>
      </c>
      <c r="K667" s="2" t="s">
        <v>510</v>
      </c>
      <c r="L667" s="3">
        <v>0.375</v>
      </c>
      <c r="M667" s="2" t="s">
        <v>736</v>
      </c>
      <c r="N667" s="2" t="s">
        <v>500</v>
      </c>
      <c r="O667" s="2"/>
    </row>
    <row r="668" spans="1:15" x14ac:dyDescent="0.25">
      <c r="A668" s="2" t="s">
        <v>15</v>
      </c>
      <c r="B668" s="2" t="str">
        <f>"FES1162768116"</f>
        <v>FES1162768116</v>
      </c>
      <c r="C668" s="2" t="s">
        <v>411</v>
      </c>
      <c r="D668" s="2">
        <v>2</v>
      </c>
      <c r="E668" s="2" t="str">
        <f>"2170756006"</f>
        <v>2170756006</v>
      </c>
      <c r="F668" s="2" t="s">
        <v>17</v>
      </c>
      <c r="G668" s="2" t="s">
        <v>18</v>
      </c>
      <c r="H668" s="2" t="s">
        <v>88</v>
      </c>
      <c r="I668" s="2" t="s">
        <v>109</v>
      </c>
      <c r="J668" s="2" t="s">
        <v>638</v>
      </c>
      <c r="K668" s="2" t="s">
        <v>510</v>
      </c>
      <c r="L668" s="3">
        <v>0.4236111111111111</v>
      </c>
      <c r="M668" s="2" t="s">
        <v>705</v>
      </c>
      <c r="N668" s="2" t="s">
        <v>500</v>
      </c>
      <c r="O668" s="2"/>
    </row>
    <row r="669" spans="1:15" x14ac:dyDescent="0.25">
      <c r="A669" s="2" t="s">
        <v>15</v>
      </c>
      <c r="B669" s="2" t="str">
        <f>"FES1162768270"</f>
        <v>FES1162768270</v>
      </c>
      <c r="C669" s="2" t="s">
        <v>411</v>
      </c>
      <c r="D669" s="2">
        <v>1</v>
      </c>
      <c r="E669" s="2" t="str">
        <f>"2170756143"</f>
        <v>2170756143</v>
      </c>
      <c r="F669" s="2" t="s">
        <v>17</v>
      </c>
      <c r="G669" s="2" t="s">
        <v>18</v>
      </c>
      <c r="H669" s="2" t="s">
        <v>18</v>
      </c>
      <c r="I669" s="2" t="s">
        <v>290</v>
      </c>
      <c r="J669" s="2" t="s">
        <v>669</v>
      </c>
      <c r="K669" s="2" t="s">
        <v>510</v>
      </c>
      <c r="L669" s="3">
        <v>0.41666666666666669</v>
      </c>
      <c r="M669" s="2" t="s">
        <v>750</v>
      </c>
      <c r="N669" s="2" t="s">
        <v>500</v>
      </c>
      <c r="O669" s="2"/>
    </row>
    <row r="670" spans="1:15" x14ac:dyDescent="0.25">
      <c r="A670" s="2" t="s">
        <v>15</v>
      </c>
      <c r="B670" s="2" t="str">
        <f>"FES1162768243"</f>
        <v>FES1162768243</v>
      </c>
      <c r="C670" s="2" t="s">
        <v>411</v>
      </c>
      <c r="D670" s="2">
        <v>1</v>
      </c>
      <c r="E670" s="2" t="str">
        <f>"2170755117"</f>
        <v>2170755117</v>
      </c>
      <c r="F670" s="2" t="s">
        <v>205</v>
      </c>
      <c r="G670" s="2" t="s">
        <v>206</v>
      </c>
      <c r="H670" s="2" t="s">
        <v>206</v>
      </c>
      <c r="I670" s="2" t="s">
        <v>290</v>
      </c>
      <c r="J670" s="2" t="s">
        <v>458</v>
      </c>
      <c r="K670" s="2" t="s">
        <v>510</v>
      </c>
      <c r="L670" s="3">
        <v>0.375</v>
      </c>
      <c r="M670" s="2" t="s">
        <v>710</v>
      </c>
      <c r="N670" s="2" t="s">
        <v>500</v>
      </c>
      <c r="O670" s="2"/>
    </row>
    <row r="671" spans="1:15" x14ac:dyDescent="0.25">
      <c r="A671" s="2" t="s">
        <v>15</v>
      </c>
      <c r="B671" s="2" t="str">
        <f>"FES1162768263"</f>
        <v>FES1162768263</v>
      </c>
      <c r="C671" s="2" t="s">
        <v>411</v>
      </c>
      <c r="D671" s="2">
        <v>1</v>
      </c>
      <c r="E671" s="2" t="str">
        <f>"2170756145"</f>
        <v>2170756145</v>
      </c>
      <c r="F671" s="2" t="s">
        <v>17</v>
      </c>
      <c r="G671" s="2" t="s">
        <v>18</v>
      </c>
      <c r="H671" s="2" t="s">
        <v>18</v>
      </c>
      <c r="I671" s="2" t="s">
        <v>290</v>
      </c>
      <c r="J671" s="2" t="s">
        <v>669</v>
      </c>
      <c r="K671" s="2" t="s">
        <v>510</v>
      </c>
      <c r="L671" s="3">
        <v>0.41666666666666669</v>
      </c>
      <c r="M671" s="2" t="s">
        <v>751</v>
      </c>
      <c r="N671" s="2" t="s">
        <v>500</v>
      </c>
      <c r="O671" s="2"/>
    </row>
    <row r="672" spans="1:15" x14ac:dyDescent="0.25">
      <c r="A672" s="2" t="s">
        <v>15</v>
      </c>
      <c r="B672" s="2" t="str">
        <f>"FES1162768062"</f>
        <v>FES1162768062</v>
      </c>
      <c r="C672" s="2" t="s">
        <v>411</v>
      </c>
      <c r="D672" s="2">
        <v>1</v>
      </c>
      <c r="E672" s="2" t="str">
        <f>"2170755882"</f>
        <v>2170755882</v>
      </c>
      <c r="F672" s="2" t="s">
        <v>17</v>
      </c>
      <c r="G672" s="2" t="s">
        <v>18</v>
      </c>
      <c r="H672" s="2" t="s">
        <v>78</v>
      </c>
      <c r="I672" s="2" t="s">
        <v>79</v>
      </c>
      <c r="J672" s="2" t="s">
        <v>80</v>
      </c>
      <c r="K672" s="2" t="s">
        <v>698</v>
      </c>
      <c r="L672" s="3">
        <v>0.37916666666666665</v>
      </c>
      <c r="M672" s="2" t="s">
        <v>806</v>
      </c>
      <c r="N672" s="2" t="s">
        <v>500</v>
      </c>
      <c r="O672" s="2"/>
    </row>
    <row r="673" spans="1:15" x14ac:dyDescent="0.25">
      <c r="A673" s="2" t="s">
        <v>15</v>
      </c>
      <c r="B673" s="2" t="str">
        <f>"FES1162768247"</f>
        <v>FES1162768247</v>
      </c>
      <c r="C673" s="2" t="s">
        <v>411</v>
      </c>
      <c r="D673" s="2">
        <v>1</v>
      </c>
      <c r="E673" s="2" t="str">
        <f>"2170756129"</f>
        <v>2170756129</v>
      </c>
      <c r="F673" s="2" t="s">
        <v>17</v>
      </c>
      <c r="G673" s="2" t="s">
        <v>18</v>
      </c>
      <c r="H673" s="2" t="s">
        <v>18</v>
      </c>
      <c r="I673" s="2" t="s">
        <v>50</v>
      </c>
      <c r="J673" s="2" t="s">
        <v>641</v>
      </c>
      <c r="K673" s="2" t="s">
        <v>510</v>
      </c>
      <c r="L673" s="3">
        <v>0.375</v>
      </c>
      <c r="M673" s="2" t="s">
        <v>711</v>
      </c>
      <c r="N673" s="2" t="s">
        <v>500</v>
      </c>
      <c r="O673" s="2"/>
    </row>
    <row r="674" spans="1:15" x14ac:dyDescent="0.25">
      <c r="A674" s="2" t="s">
        <v>15</v>
      </c>
      <c r="B674" s="2" t="str">
        <f>"FES1162768261"</f>
        <v>FES1162768261</v>
      </c>
      <c r="C674" s="2" t="s">
        <v>411</v>
      </c>
      <c r="D674" s="2">
        <v>1</v>
      </c>
      <c r="E674" s="2" t="str">
        <f>"2170754376"</f>
        <v>2170754376</v>
      </c>
      <c r="F674" s="2" t="s">
        <v>17</v>
      </c>
      <c r="G674" s="2" t="s">
        <v>18</v>
      </c>
      <c r="H674" s="2" t="s">
        <v>25</v>
      </c>
      <c r="I674" s="2" t="s">
        <v>26</v>
      </c>
      <c r="J674" s="2" t="s">
        <v>27</v>
      </c>
      <c r="K674" s="2" t="s">
        <v>510</v>
      </c>
      <c r="L674" s="3">
        <v>0.41736111111111113</v>
      </c>
      <c r="M674" s="2" t="s">
        <v>521</v>
      </c>
      <c r="N674" s="2" t="s">
        <v>500</v>
      </c>
      <c r="O674" s="2"/>
    </row>
    <row r="675" spans="1:15" x14ac:dyDescent="0.25">
      <c r="A675" s="2" t="s">
        <v>15</v>
      </c>
      <c r="B675" s="2" t="str">
        <f>"FES1162768229"</f>
        <v>FES1162768229</v>
      </c>
      <c r="C675" s="2" t="s">
        <v>411</v>
      </c>
      <c r="D675" s="2">
        <v>1</v>
      </c>
      <c r="E675" s="2" t="str">
        <f>"2170756114"</f>
        <v>2170756114</v>
      </c>
      <c r="F675" s="2" t="s">
        <v>17</v>
      </c>
      <c r="G675" s="2" t="s">
        <v>18</v>
      </c>
      <c r="H675" s="2" t="s">
        <v>18</v>
      </c>
      <c r="I675" s="2" t="s">
        <v>46</v>
      </c>
      <c r="J675" s="2" t="s">
        <v>670</v>
      </c>
      <c r="K675" s="2" t="s">
        <v>510</v>
      </c>
      <c r="L675" s="3">
        <v>0.3263888888888889</v>
      </c>
      <c r="M675" s="2" t="s">
        <v>752</v>
      </c>
      <c r="N675" s="2" t="s">
        <v>500</v>
      </c>
      <c r="O675" s="2"/>
    </row>
    <row r="676" spans="1:15" x14ac:dyDescent="0.25">
      <c r="A676" s="2" t="s">
        <v>15</v>
      </c>
      <c r="B676" s="2" t="str">
        <f>"FES1162768016"</f>
        <v>FES1162768016</v>
      </c>
      <c r="C676" s="2" t="s">
        <v>411</v>
      </c>
      <c r="D676" s="2">
        <v>1</v>
      </c>
      <c r="E676" s="2" t="str">
        <f>"2170752089"</f>
        <v>2170752089</v>
      </c>
      <c r="F676" s="2" t="s">
        <v>17</v>
      </c>
      <c r="G676" s="2" t="s">
        <v>18</v>
      </c>
      <c r="H676" s="2" t="s">
        <v>33</v>
      </c>
      <c r="I676" s="2" t="s">
        <v>648</v>
      </c>
      <c r="J676" s="2" t="s">
        <v>649</v>
      </c>
      <c r="K676" s="2" t="s">
        <v>698</v>
      </c>
      <c r="L676" s="3">
        <v>0.41666666666666669</v>
      </c>
      <c r="M676" s="2" t="s">
        <v>563</v>
      </c>
      <c r="N676" s="2" t="s">
        <v>500</v>
      </c>
      <c r="O676" s="2"/>
    </row>
    <row r="677" spans="1:15" x14ac:dyDescent="0.25">
      <c r="A677" s="2" t="s">
        <v>15</v>
      </c>
      <c r="B677" s="2" t="str">
        <f>"FES1162768228"</f>
        <v>FES1162768228</v>
      </c>
      <c r="C677" s="2" t="s">
        <v>411</v>
      </c>
      <c r="D677" s="2">
        <v>1</v>
      </c>
      <c r="E677" s="2" t="str">
        <f>"2170756106"</f>
        <v>2170756106</v>
      </c>
      <c r="F677" s="2" t="s">
        <v>17</v>
      </c>
      <c r="G677" s="2" t="s">
        <v>18</v>
      </c>
      <c r="H677" s="2" t="s">
        <v>36</v>
      </c>
      <c r="I677" s="2" t="s">
        <v>37</v>
      </c>
      <c r="J677" s="2" t="s">
        <v>671</v>
      </c>
      <c r="K677" s="2" t="s">
        <v>510</v>
      </c>
      <c r="L677" s="3">
        <v>0.40625</v>
      </c>
      <c r="M677" s="2" t="s">
        <v>753</v>
      </c>
      <c r="N677" s="2" t="s">
        <v>500</v>
      </c>
      <c r="O677" s="2"/>
    </row>
    <row r="678" spans="1:15" x14ac:dyDescent="0.25">
      <c r="A678" s="2" t="s">
        <v>15</v>
      </c>
      <c r="B678" s="2" t="str">
        <f>"FES1162768209"</f>
        <v>FES1162768209</v>
      </c>
      <c r="C678" s="2" t="s">
        <v>411</v>
      </c>
      <c r="D678" s="2">
        <v>1</v>
      </c>
      <c r="E678" s="2" t="str">
        <f>"2170755766"</f>
        <v>2170755766</v>
      </c>
      <c r="F678" s="2" t="s">
        <v>17</v>
      </c>
      <c r="G678" s="2" t="s">
        <v>18</v>
      </c>
      <c r="H678" s="2" t="s">
        <v>18</v>
      </c>
      <c r="I678" s="2" t="s">
        <v>63</v>
      </c>
      <c r="J678" s="2" t="s">
        <v>421</v>
      </c>
      <c r="K678" s="2" t="s">
        <v>510</v>
      </c>
      <c r="L678" s="3">
        <v>0.35000000000000003</v>
      </c>
      <c r="M678" s="2" t="s">
        <v>754</v>
      </c>
      <c r="N678" s="2" t="s">
        <v>500</v>
      </c>
      <c r="O678" s="2"/>
    </row>
    <row r="679" spans="1:15" x14ac:dyDescent="0.25">
      <c r="A679" s="2" t="s">
        <v>15</v>
      </c>
      <c r="B679" s="2" t="str">
        <f>"FES1162768208"</f>
        <v>FES1162768208</v>
      </c>
      <c r="C679" s="2" t="s">
        <v>411</v>
      </c>
      <c r="D679" s="2">
        <v>1</v>
      </c>
      <c r="E679" s="2" t="str">
        <f>"2170754061"</f>
        <v>2170754061</v>
      </c>
      <c r="F679" s="2" t="s">
        <v>17</v>
      </c>
      <c r="G679" s="2" t="s">
        <v>18</v>
      </c>
      <c r="H679" s="2" t="s">
        <v>18</v>
      </c>
      <c r="I679" s="2" t="s">
        <v>65</v>
      </c>
      <c r="J679" s="2" t="s">
        <v>66</v>
      </c>
      <c r="K679" s="2" t="s">
        <v>510</v>
      </c>
      <c r="L679" s="3">
        <v>0.33333333333333331</v>
      </c>
      <c r="M679" s="2" t="s">
        <v>697</v>
      </c>
      <c r="N679" s="2" t="s">
        <v>500</v>
      </c>
      <c r="O679" s="2"/>
    </row>
    <row r="680" spans="1:15" x14ac:dyDescent="0.25">
      <c r="A680" s="2" t="s">
        <v>15</v>
      </c>
      <c r="B680" s="2" t="str">
        <f>"FES1162768266"</f>
        <v>FES1162768266</v>
      </c>
      <c r="C680" s="2" t="s">
        <v>411</v>
      </c>
      <c r="D680" s="2">
        <v>1</v>
      </c>
      <c r="E680" s="2" t="str">
        <f>"2170756149"</f>
        <v>2170756149</v>
      </c>
      <c r="F680" s="2" t="s">
        <v>17</v>
      </c>
      <c r="G680" s="2" t="s">
        <v>18</v>
      </c>
      <c r="H680" s="2" t="s">
        <v>36</v>
      </c>
      <c r="I680" s="2" t="s">
        <v>37</v>
      </c>
      <c r="J680" s="2" t="s">
        <v>104</v>
      </c>
      <c r="K680" s="2" t="s">
        <v>510</v>
      </c>
      <c r="L680" s="3">
        <v>0.4201388888888889</v>
      </c>
      <c r="M680" s="2" t="s">
        <v>672</v>
      </c>
      <c r="N680" s="2" t="s">
        <v>500</v>
      </c>
      <c r="O680" s="2"/>
    </row>
    <row r="681" spans="1:15" x14ac:dyDescent="0.25">
      <c r="A681" s="2" t="s">
        <v>15</v>
      </c>
      <c r="B681" s="2" t="str">
        <f>"FES1162768187"</f>
        <v>FES1162768187</v>
      </c>
      <c r="C681" s="2" t="s">
        <v>411</v>
      </c>
      <c r="D681" s="2">
        <v>1</v>
      </c>
      <c r="E681" s="2" t="str">
        <f>"2170756079"</f>
        <v>2170756079</v>
      </c>
      <c r="F681" s="2" t="s">
        <v>17</v>
      </c>
      <c r="G681" s="2" t="s">
        <v>18</v>
      </c>
      <c r="H681" s="2" t="s">
        <v>36</v>
      </c>
      <c r="I681" s="2" t="s">
        <v>37</v>
      </c>
      <c r="J681" s="2" t="s">
        <v>104</v>
      </c>
      <c r="K681" s="2" t="s">
        <v>510</v>
      </c>
      <c r="L681" s="3">
        <v>0.4201388888888889</v>
      </c>
      <c r="M681" s="2" t="s">
        <v>672</v>
      </c>
      <c r="N681" s="2" t="s">
        <v>500</v>
      </c>
      <c r="O681" s="2"/>
    </row>
    <row r="682" spans="1:15" x14ac:dyDescent="0.25">
      <c r="A682" s="2" t="s">
        <v>15</v>
      </c>
      <c r="B682" s="2" t="str">
        <f>"FES1162768055"</f>
        <v>FES1162768055</v>
      </c>
      <c r="C682" s="2" t="s">
        <v>411</v>
      </c>
      <c r="D682" s="2">
        <v>1</v>
      </c>
      <c r="E682" s="2" t="str">
        <f>"2170755630"</f>
        <v>2170755630</v>
      </c>
      <c r="F682" s="2" t="s">
        <v>17</v>
      </c>
      <c r="G682" s="2" t="s">
        <v>18</v>
      </c>
      <c r="H682" s="2" t="s">
        <v>36</v>
      </c>
      <c r="I682" s="2" t="s">
        <v>37</v>
      </c>
      <c r="J682" s="2" t="s">
        <v>378</v>
      </c>
      <c r="K682" s="2" t="s">
        <v>510</v>
      </c>
      <c r="L682" s="3">
        <v>0.39583333333333331</v>
      </c>
      <c r="M682" s="2" t="s">
        <v>379</v>
      </c>
      <c r="N682" s="2" t="s">
        <v>500</v>
      </c>
      <c r="O682" s="2"/>
    </row>
    <row r="683" spans="1:15" s="4" customFormat="1" x14ac:dyDescent="0.25">
      <c r="A683" s="2" t="s">
        <v>15</v>
      </c>
      <c r="B683" s="2" t="str">
        <f>"FES1162768245"</f>
        <v>FES1162768245</v>
      </c>
      <c r="C683" s="2" t="s">
        <v>510</v>
      </c>
      <c r="D683" s="2">
        <v>1</v>
      </c>
      <c r="E683" s="2" t="str">
        <f>"2070752680"</f>
        <v>2070752680</v>
      </c>
      <c r="F683" s="2" t="s">
        <v>17</v>
      </c>
      <c r="G683" s="2" t="s">
        <v>18</v>
      </c>
      <c r="H683" s="2" t="s">
        <v>36</v>
      </c>
      <c r="I683" s="2" t="s">
        <v>37</v>
      </c>
      <c r="J683" s="2" t="s">
        <v>162</v>
      </c>
      <c r="K683" s="2" t="s">
        <v>698</v>
      </c>
      <c r="L683" s="3">
        <v>0.35902777777777778</v>
      </c>
      <c r="M683" s="2" t="s">
        <v>268</v>
      </c>
      <c r="N683" s="2" t="s">
        <v>500</v>
      </c>
      <c r="O683" s="5"/>
    </row>
    <row r="684" spans="1:15" s="4" customFormat="1" x14ac:dyDescent="0.25">
      <c r="A684" s="2" t="s">
        <v>15</v>
      </c>
      <c r="B684" s="2" t="str">
        <f>"FES1162768438"</f>
        <v>FES1162768438</v>
      </c>
      <c r="C684" s="2" t="s">
        <v>510</v>
      </c>
      <c r="D684" s="2">
        <v>1</v>
      </c>
      <c r="E684" s="2" t="str">
        <f>"2170756359"</f>
        <v>2170756359</v>
      </c>
      <c r="F684" s="2" t="s">
        <v>17</v>
      </c>
      <c r="G684" s="2" t="s">
        <v>18</v>
      </c>
      <c r="H684" s="2" t="s">
        <v>78</v>
      </c>
      <c r="I684" s="2" t="s">
        <v>79</v>
      </c>
      <c r="J684" s="2" t="s">
        <v>81</v>
      </c>
      <c r="K684" s="2" t="s">
        <v>698</v>
      </c>
      <c r="L684" s="3">
        <v>0.34722222222222227</v>
      </c>
      <c r="M684" s="2" t="s">
        <v>923</v>
      </c>
      <c r="N684" s="2" t="s">
        <v>500</v>
      </c>
      <c r="O684" s="5"/>
    </row>
    <row r="685" spans="1:15" s="4" customFormat="1" x14ac:dyDescent="0.25">
      <c r="A685" s="2" t="s">
        <v>15</v>
      </c>
      <c r="B685" s="2" t="str">
        <f>"RFES1162766924"</f>
        <v>RFES1162766924</v>
      </c>
      <c r="C685" s="2" t="s">
        <v>510</v>
      </c>
      <c r="D685" s="2">
        <v>1</v>
      </c>
      <c r="E685" s="2" t="str">
        <f>"2170754966"</f>
        <v>2170754966</v>
      </c>
      <c r="F685" s="2" t="s">
        <v>17</v>
      </c>
      <c r="G685" s="2" t="s">
        <v>18</v>
      </c>
      <c r="H685" s="2" t="s">
        <v>18</v>
      </c>
      <c r="I685" s="2" t="s">
        <v>46</v>
      </c>
      <c r="J685" s="2" t="s">
        <v>170</v>
      </c>
      <c r="K685" s="2" t="s">
        <v>698</v>
      </c>
      <c r="L685" s="3">
        <v>0.39374999999999999</v>
      </c>
      <c r="M685" s="2" t="s">
        <v>262</v>
      </c>
      <c r="N685" s="2" t="s">
        <v>500</v>
      </c>
      <c r="O685" s="5"/>
    </row>
    <row r="686" spans="1:15" s="4" customFormat="1" x14ac:dyDescent="0.25">
      <c r="A686" s="2" t="s">
        <v>15</v>
      </c>
      <c r="B686" s="2" t="str">
        <f>"019911311291"</f>
        <v>019911311291</v>
      </c>
      <c r="C686" s="2" t="s">
        <v>510</v>
      </c>
      <c r="D686" s="2">
        <v>1</v>
      </c>
      <c r="E686" s="2" t="str">
        <f>"1703"</f>
        <v>1703</v>
      </c>
      <c r="F686" s="2" t="s">
        <v>205</v>
      </c>
      <c r="G686" s="2" t="s">
        <v>25</v>
      </c>
      <c r="H686" s="2" t="s">
        <v>206</v>
      </c>
      <c r="I686" s="2" t="s">
        <v>46</v>
      </c>
      <c r="J686" s="2" t="s">
        <v>755</v>
      </c>
      <c r="K686" s="2" t="s">
        <v>698</v>
      </c>
      <c r="L686" s="3">
        <v>0.39374999999999999</v>
      </c>
      <c r="M686" s="2" t="s">
        <v>262</v>
      </c>
      <c r="N686" s="2" t="s">
        <v>500</v>
      </c>
      <c r="O686" s="5"/>
    </row>
    <row r="687" spans="1:15" s="4" customFormat="1" x14ac:dyDescent="0.25">
      <c r="A687" s="2" t="s">
        <v>15</v>
      </c>
      <c r="B687" s="2" t="str">
        <f>"019911311290"</f>
        <v>019911311290</v>
      </c>
      <c r="C687" s="2" t="s">
        <v>510</v>
      </c>
      <c r="D687" s="2">
        <v>1</v>
      </c>
      <c r="E687" s="2" t="str">
        <f>"1703"</f>
        <v>1703</v>
      </c>
      <c r="F687" s="2" t="s">
        <v>205</v>
      </c>
      <c r="G687" s="2" t="s">
        <v>25</v>
      </c>
      <c r="H687" s="2" t="s">
        <v>206</v>
      </c>
      <c r="I687" s="2" t="s">
        <v>46</v>
      </c>
      <c r="J687" s="2" t="s">
        <v>755</v>
      </c>
      <c r="K687" s="2" t="s">
        <v>698</v>
      </c>
      <c r="L687" s="3">
        <v>0.39374999999999999</v>
      </c>
      <c r="M687" s="2" t="s">
        <v>262</v>
      </c>
      <c r="N687" s="2" t="s">
        <v>500</v>
      </c>
      <c r="O687" s="5"/>
    </row>
    <row r="688" spans="1:15" s="4" customFormat="1" x14ac:dyDescent="0.25">
      <c r="A688" s="2" t="s">
        <v>15</v>
      </c>
      <c r="B688" s="2" t="str">
        <f>"019911311293"</f>
        <v>019911311293</v>
      </c>
      <c r="C688" s="2" t="s">
        <v>510</v>
      </c>
      <c r="D688" s="2">
        <v>1</v>
      </c>
      <c r="E688" s="2" t="str">
        <f>"1703"</f>
        <v>1703</v>
      </c>
      <c r="F688" s="2" t="s">
        <v>205</v>
      </c>
      <c r="G688" s="2" t="s">
        <v>25</v>
      </c>
      <c r="H688" s="2" t="s">
        <v>206</v>
      </c>
      <c r="I688" s="2" t="s">
        <v>46</v>
      </c>
      <c r="J688" s="2" t="s">
        <v>755</v>
      </c>
      <c r="K688" s="2" t="s">
        <v>698</v>
      </c>
      <c r="L688" s="3">
        <v>0.39374999999999999</v>
      </c>
      <c r="M688" s="2" t="s">
        <v>262</v>
      </c>
      <c r="N688" s="2" t="s">
        <v>500</v>
      </c>
      <c r="O688" s="5"/>
    </row>
    <row r="689" spans="1:15" s="4" customFormat="1" x14ac:dyDescent="0.25">
      <c r="A689" s="2" t="s">
        <v>15</v>
      </c>
      <c r="B689" s="2" t="str">
        <f>"019911311292"</f>
        <v>019911311292</v>
      </c>
      <c r="C689" s="2" t="s">
        <v>510</v>
      </c>
      <c r="D689" s="2">
        <v>1</v>
      </c>
      <c r="E689" s="2" t="str">
        <f>"1703"</f>
        <v>1703</v>
      </c>
      <c r="F689" s="2" t="s">
        <v>205</v>
      </c>
      <c r="G689" s="2" t="s">
        <v>25</v>
      </c>
      <c r="H689" s="2" t="s">
        <v>206</v>
      </c>
      <c r="I689" s="2" t="s">
        <v>46</v>
      </c>
      <c r="J689" s="2" t="s">
        <v>755</v>
      </c>
      <c r="K689" s="2" t="s">
        <v>698</v>
      </c>
      <c r="L689" s="3">
        <v>0.39374999999999999</v>
      </c>
      <c r="M689" s="2" t="s">
        <v>262</v>
      </c>
      <c r="N689" s="2" t="s">
        <v>500</v>
      </c>
      <c r="O689" s="5"/>
    </row>
    <row r="690" spans="1:15" s="4" customFormat="1" x14ac:dyDescent="0.25">
      <c r="A690" s="2" t="s">
        <v>15</v>
      </c>
      <c r="B690" s="2" t="str">
        <f>"009939512481"</f>
        <v>009939512481</v>
      </c>
      <c r="C690" s="2" t="s">
        <v>510</v>
      </c>
      <c r="D690" s="2">
        <v>1</v>
      </c>
      <c r="E690" s="2" t="str">
        <f>"1703"</f>
        <v>1703</v>
      </c>
      <c r="F690" s="2" t="s">
        <v>17</v>
      </c>
      <c r="G690" s="2" t="s">
        <v>25</v>
      </c>
      <c r="H690" s="2" t="s">
        <v>36</v>
      </c>
      <c r="I690" s="2" t="s">
        <v>37</v>
      </c>
      <c r="J690" s="2" t="s">
        <v>756</v>
      </c>
      <c r="K690" s="2" t="s">
        <v>698</v>
      </c>
      <c r="L690" s="3">
        <v>0.40972222222222227</v>
      </c>
      <c r="M690" s="2" t="s">
        <v>811</v>
      </c>
      <c r="N690" s="2" t="s">
        <v>500</v>
      </c>
      <c r="O690" s="5"/>
    </row>
    <row r="691" spans="1:15" s="4" customFormat="1" x14ac:dyDescent="0.25">
      <c r="A691" s="2" t="s">
        <v>15</v>
      </c>
      <c r="B691" s="2" t="str">
        <f>"FES1162768294"</f>
        <v>FES1162768294</v>
      </c>
      <c r="C691" s="2" t="s">
        <v>510</v>
      </c>
      <c r="D691" s="2">
        <v>1</v>
      </c>
      <c r="E691" s="2" t="str">
        <f>"2170755873"</f>
        <v>2170755873</v>
      </c>
      <c r="F691" s="2" t="s">
        <v>17</v>
      </c>
      <c r="G691" s="2" t="s">
        <v>18</v>
      </c>
      <c r="H691" s="2" t="s">
        <v>25</v>
      </c>
      <c r="I691" s="2" t="s">
        <v>42</v>
      </c>
      <c r="J691" s="2" t="s">
        <v>416</v>
      </c>
      <c r="K691" s="2" t="s">
        <v>698</v>
      </c>
      <c r="L691" s="3">
        <v>0.54166666666666663</v>
      </c>
      <c r="M691" s="2" t="s">
        <v>517</v>
      </c>
      <c r="N691" s="2" t="s">
        <v>500</v>
      </c>
      <c r="O691" s="5"/>
    </row>
    <row r="692" spans="1:15" s="4" customFormat="1" x14ac:dyDescent="0.25">
      <c r="A692" s="2" t="s">
        <v>15</v>
      </c>
      <c r="B692" s="2" t="str">
        <f>"FES1162768284"</f>
        <v>FES1162768284</v>
      </c>
      <c r="C692" s="2" t="s">
        <v>510</v>
      </c>
      <c r="D692" s="2">
        <v>1</v>
      </c>
      <c r="E692" s="2" t="str">
        <f>"2170754711"</f>
        <v>2170754711</v>
      </c>
      <c r="F692" s="2" t="s">
        <v>17</v>
      </c>
      <c r="G692" s="2" t="s">
        <v>18</v>
      </c>
      <c r="H692" s="2" t="s">
        <v>19</v>
      </c>
      <c r="I692" s="2" t="s">
        <v>20</v>
      </c>
      <c r="J692" s="2" t="s">
        <v>281</v>
      </c>
      <c r="K692" s="2" t="s">
        <v>698</v>
      </c>
      <c r="L692" s="3">
        <v>0.48680555555555555</v>
      </c>
      <c r="M692" s="2" t="s">
        <v>812</v>
      </c>
      <c r="N692" s="2" t="s">
        <v>500</v>
      </c>
      <c r="O692" s="5"/>
    </row>
    <row r="693" spans="1:15" s="4" customFormat="1" x14ac:dyDescent="0.25">
      <c r="A693" s="2" t="s">
        <v>15</v>
      </c>
      <c r="B693" s="2" t="str">
        <f>"FES1162768337"</f>
        <v>FES1162768337</v>
      </c>
      <c r="C693" s="2" t="s">
        <v>510</v>
      </c>
      <c r="D693" s="2">
        <v>1</v>
      </c>
      <c r="E693" s="2" t="str">
        <f>"2170752798"</f>
        <v>2170752798</v>
      </c>
      <c r="F693" s="2" t="s">
        <v>17</v>
      </c>
      <c r="G693" s="2" t="s">
        <v>18</v>
      </c>
      <c r="H693" s="2" t="s">
        <v>25</v>
      </c>
      <c r="I693" s="2" t="s">
        <v>26</v>
      </c>
      <c r="J693" s="2" t="s">
        <v>100</v>
      </c>
      <c r="K693" s="2" t="s">
        <v>698</v>
      </c>
      <c r="L693" s="3">
        <v>0.41666666666666669</v>
      </c>
      <c r="M693" s="2" t="s">
        <v>563</v>
      </c>
      <c r="N693" s="2" t="s">
        <v>500</v>
      </c>
      <c r="O693" s="5"/>
    </row>
    <row r="694" spans="1:15" x14ac:dyDescent="0.25">
      <c r="A694" s="2" t="s">
        <v>15</v>
      </c>
      <c r="B694" s="2" t="str">
        <f>"FES1162768322"</f>
        <v>FES1162768322</v>
      </c>
      <c r="C694" s="2" t="s">
        <v>510</v>
      </c>
      <c r="D694" s="2">
        <v>1</v>
      </c>
      <c r="E694" s="2" t="str">
        <f>"2170756201"</f>
        <v>2170756201</v>
      </c>
      <c r="F694" s="2" t="s">
        <v>17</v>
      </c>
      <c r="G694" s="2" t="s">
        <v>18</v>
      </c>
      <c r="H694" s="2" t="s">
        <v>25</v>
      </c>
      <c r="I694" s="2" t="s">
        <v>26</v>
      </c>
      <c r="J694" s="2" t="s">
        <v>757</v>
      </c>
      <c r="K694" s="2" t="s">
        <v>698</v>
      </c>
      <c r="L694" s="3">
        <v>0.32430555555555557</v>
      </c>
      <c r="M694" s="2" t="s">
        <v>758</v>
      </c>
      <c r="N694" s="2" t="s">
        <v>500</v>
      </c>
      <c r="O694" s="2"/>
    </row>
    <row r="695" spans="1:15" s="4" customFormat="1" x14ac:dyDescent="0.25">
      <c r="A695" s="2" t="s">
        <v>15</v>
      </c>
      <c r="B695" s="2" t="str">
        <f>"FES1162768297"</f>
        <v>FES1162768297</v>
      </c>
      <c r="C695" s="2" t="s">
        <v>510</v>
      </c>
      <c r="D695" s="2">
        <v>1</v>
      </c>
      <c r="E695" s="2" t="str">
        <f>"2170755969"</f>
        <v>2170755969</v>
      </c>
      <c r="F695" s="2" t="s">
        <v>17</v>
      </c>
      <c r="G695" s="2" t="s">
        <v>18</v>
      </c>
      <c r="H695" s="2" t="s">
        <v>25</v>
      </c>
      <c r="I695" s="2" t="s">
        <v>26</v>
      </c>
      <c r="J695" s="2" t="s">
        <v>422</v>
      </c>
      <c r="K695" s="2" t="s">
        <v>698</v>
      </c>
      <c r="L695" s="3">
        <v>0.36180555555555555</v>
      </c>
      <c r="M695" s="2" t="s">
        <v>813</v>
      </c>
      <c r="N695" s="2" t="s">
        <v>500</v>
      </c>
      <c r="O695" s="5"/>
    </row>
    <row r="696" spans="1:15" s="4" customFormat="1" x14ac:dyDescent="0.25">
      <c r="A696" s="2" t="s">
        <v>15</v>
      </c>
      <c r="B696" s="2" t="str">
        <f>"FES1162768295"</f>
        <v>FES1162768295</v>
      </c>
      <c r="C696" s="2" t="s">
        <v>510</v>
      </c>
      <c r="D696" s="2">
        <v>1</v>
      </c>
      <c r="E696" s="2" t="str">
        <f>"2170755963"</f>
        <v>2170755963</v>
      </c>
      <c r="F696" s="2" t="s">
        <v>17</v>
      </c>
      <c r="G696" s="2" t="s">
        <v>18</v>
      </c>
      <c r="H696" s="2" t="s">
        <v>19</v>
      </c>
      <c r="I696" s="2" t="s">
        <v>20</v>
      </c>
      <c r="J696" s="2" t="s">
        <v>759</v>
      </c>
      <c r="K696" s="2" t="s">
        <v>698</v>
      </c>
      <c r="L696" s="3">
        <v>0.48541666666666666</v>
      </c>
      <c r="M696" s="2" t="s">
        <v>814</v>
      </c>
      <c r="N696" s="2" t="s">
        <v>500</v>
      </c>
      <c r="O696" s="5"/>
    </row>
    <row r="697" spans="1:15" s="4" customFormat="1" x14ac:dyDescent="0.25">
      <c r="A697" s="2" t="s">
        <v>15</v>
      </c>
      <c r="B697" s="2" t="str">
        <f>"FES1162768343"</f>
        <v>FES1162768343</v>
      </c>
      <c r="C697" s="2" t="s">
        <v>510</v>
      </c>
      <c r="D697" s="2">
        <v>1</v>
      </c>
      <c r="E697" s="2" t="str">
        <f>"2170756226"</f>
        <v>2170756226</v>
      </c>
      <c r="F697" s="2" t="s">
        <v>17</v>
      </c>
      <c r="G697" s="2" t="s">
        <v>18</v>
      </c>
      <c r="H697" s="2" t="s">
        <v>25</v>
      </c>
      <c r="I697" s="2" t="s">
        <v>125</v>
      </c>
      <c r="J697" s="2" t="s">
        <v>126</v>
      </c>
      <c r="K697" s="2" t="s">
        <v>698</v>
      </c>
      <c r="L697" s="3">
        <v>0.4548611111111111</v>
      </c>
      <c r="M697" s="2" t="s">
        <v>235</v>
      </c>
      <c r="N697" s="2" t="s">
        <v>500</v>
      </c>
      <c r="O697" s="5"/>
    </row>
    <row r="698" spans="1:15" s="4" customFormat="1" x14ac:dyDescent="0.25">
      <c r="A698" s="2" t="s">
        <v>15</v>
      </c>
      <c r="B698" s="2" t="str">
        <f>"FES1162768305"</f>
        <v>FES1162768305</v>
      </c>
      <c r="C698" s="2" t="s">
        <v>510</v>
      </c>
      <c r="D698" s="2">
        <v>1</v>
      </c>
      <c r="E698" s="2" t="str">
        <f>"2170756175"</f>
        <v>2170756175</v>
      </c>
      <c r="F698" s="2" t="s">
        <v>17</v>
      </c>
      <c r="G698" s="2" t="s">
        <v>18</v>
      </c>
      <c r="H698" s="2" t="s">
        <v>19</v>
      </c>
      <c r="I698" s="2" t="s">
        <v>20</v>
      </c>
      <c r="J698" s="2" t="s">
        <v>760</v>
      </c>
      <c r="K698" s="2" t="s">
        <v>698</v>
      </c>
      <c r="L698" s="3">
        <v>0.3430555555555555</v>
      </c>
      <c r="M698" s="2" t="s">
        <v>815</v>
      </c>
      <c r="N698" s="2" t="s">
        <v>500</v>
      </c>
      <c r="O698" s="5"/>
    </row>
    <row r="699" spans="1:15" s="4" customFormat="1" x14ac:dyDescent="0.25">
      <c r="A699" s="2" t="s">
        <v>15</v>
      </c>
      <c r="B699" s="2" t="str">
        <f>"FES1162768296"</f>
        <v>FES1162768296</v>
      </c>
      <c r="C699" s="2" t="s">
        <v>510</v>
      </c>
      <c r="D699" s="2">
        <v>1</v>
      </c>
      <c r="E699" s="2" t="str">
        <f>"2170755965"</f>
        <v>2170755965</v>
      </c>
      <c r="F699" s="2" t="s">
        <v>17</v>
      </c>
      <c r="G699" s="2" t="s">
        <v>18</v>
      </c>
      <c r="H699" s="2" t="s">
        <v>25</v>
      </c>
      <c r="I699" s="2" t="s">
        <v>26</v>
      </c>
      <c r="J699" s="2" t="s">
        <v>27</v>
      </c>
      <c r="K699" s="2" t="s">
        <v>698</v>
      </c>
      <c r="L699" s="3">
        <v>0.4055555555555555</v>
      </c>
      <c r="M699" s="2" t="s">
        <v>521</v>
      </c>
      <c r="N699" s="2" t="s">
        <v>500</v>
      </c>
      <c r="O699" s="5"/>
    </row>
    <row r="700" spans="1:15" x14ac:dyDescent="0.25">
      <c r="A700" s="2" t="s">
        <v>15</v>
      </c>
      <c r="B700" s="2" t="str">
        <f>"FES1162768323"</f>
        <v>FES1162768323</v>
      </c>
      <c r="C700" s="2" t="s">
        <v>510</v>
      </c>
      <c r="D700" s="2">
        <v>1</v>
      </c>
      <c r="E700" s="2" t="str">
        <f>"2170756202"</f>
        <v>2170756202</v>
      </c>
      <c r="F700" s="2" t="s">
        <v>17</v>
      </c>
      <c r="G700" s="2" t="s">
        <v>18</v>
      </c>
      <c r="H700" s="2" t="s">
        <v>25</v>
      </c>
      <c r="I700" s="2" t="s">
        <v>26</v>
      </c>
      <c r="J700" s="2" t="s">
        <v>757</v>
      </c>
      <c r="K700" s="2" t="s">
        <v>698</v>
      </c>
      <c r="L700" s="3">
        <v>0.32430555555555557</v>
      </c>
      <c r="M700" s="2" t="s">
        <v>758</v>
      </c>
      <c r="N700" s="2" t="s">
        <v>500</v>
      </c>
      <c r="O700" s="2"/>
    </row>
    <row r="701" spans="1:15" x14ac:dyDescent="0.25">
      <c r="A701" s="2" t="s">
        <v>15</v>
      </c>
      <c r="B701" s="2" t="str">
        <f>"FES1162768326"</f>
        <v>FES1162768326</v>
      </c>
      <c r="C701" s="2" t="s">
        <v>510</v>
      </c>
      <c r="D701" s="2">
        <v>1</v>
      </c>
      <c r="E701" s="2" t="str">
        <f>"2170756210"</f>
        <v>2170756210</v>
      </c>
      <c r="F701" s="2" t="s">
        <v>17</v>
      </c>
      <c r="G701" s="2" t="s">
        <v>18</v>
      </c>
      <c r="H701" s="2" t="s">
        <v>25</v>
      </c>
      <c r="I701" s="2" t="s">
        <v>26</v>
      </c>
      <c r="J701" s="2" t="s">
        <v>757</v>
      </c>
      <c r="K701" s="2" t="s">
        <v>698</v>
      </c>
      <c r="L701" s="3">
        <v>0.32430555555555557</v>
      </c>
      <c r="M701" s="2" t="s">
        <v>758</v>
      </c>
      <c r="N701" s="2" t="s">
        <v>500</v>
      </c>
      <c r="O701" s="2"/>
    </row>
    <row r="702" spans="1:15" s="4" customFormat="1" x14ac:dyDescent="0.25">
      <c r="A702" s="2" t="s">
        <v>15</v>
      </c>
      <c r="B702" s="2" t="str">
        <f>"FES1162768325"</f>
        <v>FES1162768325</v>
      </c>
      <c r="C702" s="2" t="s">
        <v>510</v>
      </c>
      <c r="D702" s="2">
        <v>1</v>
      </c>
      <c r="E702" s="2" t="str">
        <f>"2170756204"</f>
        <v>2170756204</v>
      </c>
      <c r="F702" s="2" t="s">
        <v>17</v>
      </c>
      <c r="G702" s="2" t="s">
        <v>18</v>
      </c>
      <c r="H702" s="2" t="s">
        <v>19</v>
      </c>
      <c r="I702" s="2" t="s">
        <v>20</v>
      </c>
      <c r="J702" s="2" t="s">
        <v>166</v>
      </c>
      <c r="K702" s="2" t="s">
        <v>698</v>
      </c>
      <c r="L702" s="3">
        <v>0.43888888888888888</v>
      </c>
      <c r="M702" s="2" t="s">
        <v>816</v>
      </c>
      <c r="N702" s="2" t="s">
        <v>500</v>
      </c>
      <c r="O702" s="5"/>
    </row>
    <row r="703" spans="1:15" s="4" customFormat="1" x14ac:dyDescent="0.25">
      <c r="A703" s="2" t="s">
        <v>15</v>
      </c>
      <c r="B703" s="2" t="str">
        <f>"FES1162768285"</f>
        <v>FES1162768285</v>
      </c>
      <c r="C703" s="2" t="s">
        <v>510</v>
      </c>
      <c r="D703" s="2">
        <v>1</v>
      </c>
      <c r="E703" s="2" t="str">
        <f>"2170755123"</f>
        <v>2170755123</v>
      </c>
      <c r="F703" s="2" t="s">
        <v>17</v>
      </c>
      <c r="G703" s="2" t="s">
        <v>18</v>
      </c>
      <c r="H703" s="2" t="s">
        <v>25</v>
      </c>
      <c r="I703" s="2" t="s">
        <v>26</v>
      </c>
      <c r="J703" s="2" t="s">
        <v>654</v>
      </c>
      <c r="K703" s="2" t="s">
        <v>698</v>
      </c>
      <c r="L703" s="3">
        <v>0.4375</v>
      </c>
      <c r="M703" s="2" t="s">
        <v>817</v>
      </c>
      <c r="N703" s="2" t="s">
        <v>500</v>
      </c>
      <c r="O703" s="5"/>
    </row>
    <row r="704" spans="1:15" x14ac:dyDescent="0.25">
      <c r="A704" s="2" t="s">
        <v>15</v>
      </c>
      <c r="B704" s="2" t="str">
        <f>"FES1162768324"</f>
        <v>FES1162768324</v>
      </c>
      <c r="C704" s="2" t="s">
        <v>510</v>
      </c>
      <c r="D704" s="2">
        <v>1</v>
      </c>
      <c r="E704" s="2" t="str">
        <f>"2170756203"</f>
        <v>2170756203</v>
      </c>
      <c r="F704" s="2" t="s">
        <v>17</v>
      </c>
      <c r="G704" s="2" t="s">
        <v>18</v>
      </c>
      <c r="H704" s="2" t="s">
        <v>25</v>
      </c>
      <c r="I704" s="2" t="s">
        <v>26</v>
      </c>
      <c r="J704" s="2" t="s">
        <v>757</v>
      </c>
      <c r="K704" s="2" t="s">
        <v>698</v>
      </c>
      <c r="L704" s="3">
        <v>0.32430555555555557</v>
      </c>
      <c r="M704" s="2" t="s">
        <v>758</v>
      </c>
      <c r="N704" s="2" t="s">
        <v>500</v>
      </c>
      <c r="O704" s="2"/>
    </row>
    <row r="705" spans="1:15" s="4" customFormat="1" x14ac:dyDescent="0.25">
      <c r="A705" s="2" t="s">
        <v>15</v>
      </c>
      <c r="B705" s="2" t="str">
        <f>"FES1162768329"</f>
        <v>FES1162768329</v>
      </c>
      <c r="C705" s="2" t="s">
        <v>510</v>
      </c>
      <c r="D705" s="2">
        <v>1</v>
      </c>
      <c r="E705" s="2" t="str">
        <f>"2170756216"</f>
        <v>2170756216</v>
      </c>
      <c r="F705" s="2" t="s">
        <v>17</v>
      </c>
      <c r="G705" s="2" t="s">
        <v>18</v>
      </c>
      <c r="H705" s="2" t="s">
        <v>25</v>
      </c>
      <c r="I705" s="2" t="s">
        <v>26</v>
      </c>
      <c r="J705" s="2" t="s">
        <v>761</v>
      </c>
      <c r="K705" s="2" t="s">
        <v>698</v>
      </c>
      <c r="L705" s="3">
        <v>0.42291666666666666</v>
      </c>
      <c r="M705" s="2" t="s">
        <v>818</v>
      </c>
      <c r="N705" s="2" t="s">
        <v>500</v>
      </c>
      <c r="O705" s="5"/>
    </row>
    <row r="706" spans="1:15" s="4" customFormat="1" x14ac:dyDescent="0.25">
      <c r="A706" s="2" t="s">
        <v>15</v>
      </c>
      <c r="B706" s="2" t="str">
        <f>"FES1162768314"</f>
        <v>FES1162768314</v>
      </c>
      <c r="C706" s="2" t="s">
        <v>510</v>
      </c>
      <c r="D706" s="2">
        <v>1</v>
      </c>
      <c r="E706" s="2" t="str">
        <f>"2170756186"</f>
        <v>2170756186</v>
      </c>
      <c r="F706" s="2" t="s">
        <v>17</v>
      </c>
      <c r="G706" s="2" t="s">
        <v>18</v>
      </c>
      <c r="H706" s="2" t="s">
        <v>25</v>
      </c>
      <c r="I706" s="2" t="s">
        <v>125</v>
      </c>
      <c r="J706" s="2" t="s">
        <v>126</v>
      </c>
      <c r="K706" s="2" t="s">
        <v>698</v>
      </c>
      <c r="L706" s="3">
        <v>0.4548611111111111</v>
      </c>
      <c r="M706" s="2" t="s">
        <v>235</v>
      </c>
      <c r="N706" s="2" t="s">
        <v>500</v>
      </c>
      <c r="O706" s="5"/>
    </row>
    <row r="707" spans="1:15" s="4" customFormat="1" x14ac:dyDescent="0.25">
      <c r="A707" s="2" t="s">
        <v>15</v>
      </c>
      <c r="B707" s="2" t="str">
        <f>"FES1162768301"</f>
        <v>FES1162768301</v>
      </c>
      <c r="C707" s="2" t="s">
        <v>510</v>
      </c>
      <c r="D707" s="2">
        <v>1</v>
      </c>
      <c r="E707" s="2" t="str">
        <f>"2170756167"</f>
        <v>2170756167</v>
      </c>
      <c r="F707" s="2" t="s">
        <v>17</v>
      </c>
      <c r="G707" s="2" t="s">
        <v>18</v>
      </c>
      <c r="H707" s="2" t="s">
        <v>25</v>
      </c>
      <c r="I707" s="2" t="s">
        <v>345</v>
      </c>
      <c r="J707" s="2" t="s">
        <v>346</v>
      </c>
      <c r="K707" s="2" t="s">
        <v>802</v>
      </c>
      <c r="L707" s="3">
        <v>0.3888888888888889</v>
      </c>
      <c r="M707" s="2" t="s">
        <v>1048</v>
      </c>
      <c r="N707" s="2" t="s">
        <v>500</v>
      </c>
      <c r="O707" s="5"/>
    </row>
    <row r="708" spans="1:15" s="4" customFormat="1" x14ac:dyDescent="0.25">
      <c r="A708" s="2" t="s">
        <v>15</v>
      </c>
      <c r="B708" s="2" t="str">
        <f>"FES1162768345"</f>
        <v>FES1162768345</v>
      </c>
      <c r="C708" s="2" t="s">
        <v>510</v>
      </c>
      <c r="D708" s="2">
        <v>1</v>
      </c>
      <c r="E708" s="2" t="str">
        <f>"2170756230"</f>
        <v>2170756230</v>
      </c>
      <c r="F708" s="2" t="s">
        <v>17</v>
      </c>
      <c r="G708" s="2" t="s">
        <v>18</v>
      </c>
      <c r="H708" s="2" t="s">
        <v>25</v>
      </c>
      <c r="I708" s="2" t="s">
        <v>125</v>
      </c>
      <c r="J708" s="2" t="s">
        <v>126</v>
      </c>
      <c r="K708" s="2" t="s">
        <v>698</v>
      </c>
      <c r="L708" s="3">
        <v>0.4548611111111111</v>
      </c>
      <c r="M708" s="2" t="s">
        <v>235</v>
      </c>
      <c r="N708" s="2" t="s">
        <v>500</v>
      </c>
      <c r="O708" s="5"/>
    </row>
    <row r="709" spans="1:15" s="4" customFormat="1" x14ac:dyDescent="0.25">
      <c r="A709" s="2" t="s">
        <v>15</v>
      </c>
      <c r="B709" s="2" t="str">
        <f>"FES1162768304"</f>
        <v>FES1162768304</v>
      </c>
      <c r="C709" s="2" t="s">
        <v>510</v>
      </c>
      <c r="D709" s="2">
        <v>1</v>
      </c>
      <c r="E709" s="2" t="str">
        <f>"2170756174"</f>
        <v>2170756174</v>
      </c>
      <c r="F709" s="2" t="s">
        <v>17</v>
      </c>
      <c r="G709" s="2" t="s">
        <v>18</v>
      </c>
      <c r="H709" s="2" t="s">
        <v>25</v>
      </c>
      <c r="I709" s="2" t="s">
        <v>39</v>
      </c>
      <c r="J709" s="2" t="s">
        <v>40</v>
      </c>
      <c r="K709" s="2" t="s">
        <v>698</v>
      </c>
      <c r="L709" s="3">
        <v>0.54861111111111105</v>
      </c>
      <c r="M709" s="2" t="s">
        <v>924</v>
      </c>
      <c r="N709" s="2" t="s">
        <v>500</v>
      </c>
      <c r="O709" s="5"/>
    </row>
    <row r="710" spans="1:15" s="4" customFormat="1" x14ac:dyDescent="0.25">
      <c r="A710" s="2" t="s">
        <v>15</v>
      </c>
      <c r="B710" s="2" t="str">
        <f>"FES1162768361"</f>
        <v>FES1162768361</v>
      </c>
      <c r="C710" s="2" t="s">
        <v>510</v>
      </c>
      <c r="D710" s="2">
        <v>1</v>
      </c>
      <c r="E710" s="2" t="str">
        <f>"2170756249"</f>
        <v>2170756249</v>
      </c>
      <c r="F710" s="2" t="s">
        <v>17</v>
      </c>
      <c r="G710" s="2" t="s">
        <v>18</v>
      </c>
      <c r="H710" s="2" t="s">
        <v>25</v>
      </c>
      <c r="I710" s="2" t="s">
        <v>26</v>
      </c>
      <c r="J710" s="2" t="s">
        <v>762</v>
      </c>
      <c r="K710" s="2" t="s">
        <v>698</v>
      </c>
      <c r="L710" s="3">
        <v>0.42499999999999999</v>
      </c>
      <c r="M710" s="2" t="s">
        <v>819</v>
      </c>
      <c r="N710" s="2" t="s">
        <v>500</v>
      </c>
      <c r="O710" s="5"/>
    </row>
    <row r="711" spans="1:15" s="4" customFormat="1" x14ac:dyDescent="0.25">
      <c r="A711" s="2" t="s">
        <v>15</v>
      </c>
      <c r="B711" s="2" t="str">
        <f>"FES1162768354"</f>
        <v>FES1162768354</v>
      </c>
      <c r="C711" s="2" t="s">
        <v>510</v>
      </c>
      <c r="D711" s="2">
        <v>1</v>
      </c>
      <c r="E711" s="2" t="str">
        <f>"2170756241"</f>
        <v>2170756241</v>
      </c>
      <c r="F711" s="2" t="s">
        <v>17</v>
      </c>
      <c r="G711" s="2" t="s">
        <v>18</v>
      </c>
      <c r="H711" s="2" t="s">
        <v>25</v>
      </c>
      <c r="I711" s="2" t="s">
        <v>345</v>
      </c>
      <c r="J711" s="2" t="s">
        <v>412</v>
      </c>
      <c r="K711" s="2" t="s">
        <v>802</v>
      </c>
      <c r="L711" s="3">
        <v>0.39374999999999999</v>
      </c>
      <c r="M711" s="2" t="s">
        <v>1049</v>
      </c>
      <c r="N711" s="2" t="s">
        <v>500</v>
      </c>
      <c r="O711" s="5"/>
    </row>
    <row r="712" spans="1:15" s="4" customFormat="1" x14ac:dyDescent="0.25">
      <c r="A712" s="2" t="s">
        <v>15</v>
      </c>
      <c r="B712" s="2" t="str">
        <f>"FES1162768364"</f>
        <v>FES1162768364</v>
      </c>
      <c r="C712" s="2" t="s">
        <v>510</v>
      </c>
      <c r="D712" s="2">
        <v>1</v>
      </c>
      <c r="E712" s="2" t="str">
        <f>"2170755987"</f>
        <v>2170755987</v>
      </c>
      <c r="F712" s="2" t="s">
        <v>17</v>
      </c>
      <c r="G712" s="2" t="s">
        <v>18</v>
      </c>
      <c r="H712" s="2" t="s">
        <v>25</v>
      </c>
      <c r="I712" s="2" t="s">
        <v>26</v>
      </c>
      <c r="J712" s="2" t="s">
        <v>763</v>
      </c>
      <c r="K712" s="2" t="s">
        <v>698</v>
      </c>
      <c r="L712" s="3">
        <v>0.41736111111111113</v>
      </c>
      <c r="M712" s="2" t="s">
        <v>820</v>
      </c>
      <c r="N712" s="2" t="s">
        <v>500</v>
      </c>
      <c r="O712" s="5"/>
    </row>
    <row r="713" spans="1:15" s="4" customFormat="1" x14ac:dyDescent="0.25">
      <c r="A713" s="2" t="s">
        <v>15</v>
      </c>
      <c r="B713" s="2" t="str">
        <f>"FES1162768018"</f>
        <v>FES1162768018</v>
      </c>
      <c r="C713" s="2" t="s">
        <v>510</v>
      </c>
      <c r="D713" s="2">
        <v>1</v>
      </c>
      <c r="E713" s="2" t="str">
        <f>"2170752497"</f>
        <v>2170752497</v>
      </c>
      <c r="F713" s="2" t="s">
        <v>17</v>
      </c>
      <c r="G713" s="2" t="s">
        <v>18</v>
      </c>
      <c r="H713" s="2" t="s">
        <v>36</v>
      </c>
      <c r="I713" s="2" t="s">
        <v>37</v>
      </c>
      <c r="J713" s="2" t="s">
        <v>162</v>
      </c>
      <c r="K713" s="2" t="s">
        <v>698</v>
      </c>
      <c r="L713" s="3">
        <v>0.35902777777777778</v>
      </c>
      <c r="M713" s="2" t="s">
        <v>268</v>
      </c>
      <c r="N713" s="2" t="s">
        <v>500</v>
      </c>
      <c r="O713" s="5"/>
    </row>
    <row r="714" spans="1:15" s="4" customFormat="1" x14ac:dyDescent="0.25">
      <c r="A714" s="2" t="s">
        <v>15</v>
      </c>
      <c r="B714" s="2" t="str">
        <f>"FES1162768051"</f>
        <v>FES1162768051</v>
      </c>
      <c r="C714" s="2" t="s">
        <v>510</v>
      </c>
      <c r="D714" s="2">
        <v>1</v>
      </c>
      <c r="E714" s="2" t="str">
        <f>"2170755398"</f>
        <v>2170755398</v>
      </c>
      <c r="F714" s="2" t="s">
        <v>17</v>
      </c>
      <c r="G714" s="2" t="s">
        <v>18</v>
      </c>
      <c r="H714" s="2" t="s">
        <v>33</v>
      </c>
      <c r="I714" s="2" t="s">
        <v>34</v>
      </c>
      <c r="J714" s="2" t="s">
        <v>71</v>
      </c>
      <c r="K714" s="2" t="s">
        <v>698</v>
      </c>
      <c r="L714" s="3">
        <v>0.43333333333333335</v>
      </c>
      <c r="M714" s="2" t="s">
        <v>821</v>
      </c>
      <c r="N714" s="2" t="s">
        <v>500</v>
      </c>
      <c r="O714" s="5"/>
    </row>
    <row r="715" spans="1:15" s="4" customFormat="1" x14ac:dyDescent="0.25">
      <c r="A715" s="2" t="s">
        <v>15</v>
      </c>
      <c r="B715" s="2" t="str">
        <f>"FES1162768224"</f>
        <v>FES1162768224</v>
      </c>
      <c r="C715" s="2" t="s">
        <v>510</v>
      </c>
      <c r="D715" s="2">
        <v>1</v>
      </c>
      <c r="E715" s="2" t="str">
        <f>"2170754942"</f>
        <v>2170754942</v>
      </c>
      <c r="F715" s="2" t="s">
        <v>17</v>
      </c>
      <c r="G715" s="2" t="s">
        <v>18</v>
      </c>
      <c r="H715" s="2" t="s">
        <v>36</v>
      </c>
      <c r="I715" s="2" t="s">
        <v>37</v>
      </c>
      <c r="J715" s="2" t="s">
        <v>403</v>
      </c>
      <c r="K715" s="2" t="s">
        <v>698</v>
      </c>
      <c r="L715" s="3">
        <v>0.54513888888888895</v>
      </c>
      <c r="M715" s="2" t="s">
        <v>822</v>
      </c>
      <c r="N715" s="2" t="s">
        <v>500</v>
      </c>
      <c r="O715" s="5"/>
    </row>
    <row r="716" spans="1:15" s="4" customFormat="1" x14ac:dyDescent="0.25">
      <c r="A716" s="2" t="s">
        <v>15</v>
      </c>
      <c r="B716" s="2" t="str">
        <f>"FES1162768293"</f>
        <v>FES1162768293</v>
      </c>
      <c r="C716" s="2" t="s">
        <v>510</v>
      </c>
      <c r="D716" s="2">
        <v>1</v>
      </c>
      <c r="E716" s="2" t="str">
        <f>"2170755857"</f>
        <v>2170755857</v>
      </c>
      <c r="F716" s="2" t="s">
        <v>17</v>
      </c>
      <c r="G716" s="2" t="s">
        <v>18</v>
      </c>
      <c r="H716" s="2" t="s">
        <v>18</v>
      </c>
      <c r="I716" s="2" t="s">
        <v>57</v>
      </c>
      <c r="J716" s="2" t="s">
        <v>764</v>
      </c>
      <c r="K716" s="2" t="s">
        <v>1008</v>
      </c>
      <c r="L716" s="3">
        <v>0.42638888888888887</v>
      </c>
      <c r="M716" s="2" t="s">
        <v>401</v>
      </c>
      <c r="N716" s="2" t="s">
        <v>500</v>
      </c>
      <c r="O716" s="5"/>
    </row>
    <row r="717" spans="1:15" s="4" customFormat="1" x14ac:dyDescent="0.25">
      <c r="A717" s="2" t="s">
        <v>15</v>
      </c>
      <c r="B717" s="2" t="str">
        <f>"FES1162768317"</f>
        <v>FES1162768317</v>
      </c>
      <c r="C717" s="2" t="s">
        <v>510</v>
      </c>
      <c r="D717" s="2">
        <v>1</v>
      </c>
      <c r="E717" s="2" t="str">
        <f>"217075190"</f>
        <v>217075190</v>
      </c>
      <c r="F717" s="2" t="s">
        <v>17</v>
      </c>
      <c r="G717" s="2" t="s">
        <v>18</v>
      </c>
      <c r="H717" s="2" t="s">
        <v>18</v>
      </c>
      <c r="I717" s="2" t="s">
        <v>46</v>
      </c>
      <c r="J717" s="2" t="s">
        <v>59</v>
      </c>
      <c r="K717" s="2" t="s">
        <v>698</v>
      </c>
      <c r="L717" s="3">
        <v>0.4375</v>
      </c>
      <c r="M717" s="2" t="s">
        <v>823</v>
      </c>
      <c r="N717" s="2" t="s">
        <v>500</v>
      </c>
      <c r="O717" s="5"/>
    </row>
    <row r="718" spans="1:15" s="4" customFormat="1" x14ac:dyDescent="0.25">
      <c r="A718" s="2" t="s">
        <v>15</v>
      </c>
      <c r="B718" s="2" t="str">
        <f>"FES1162768331"</f>
        <v>FES1162768331</v>
      </c>
      <c r="C718" s="2" t="s">
        <v>510</v>
      </c>
      <c r="D718" s="2">
        <v>1</v>
      </c>
      <c r="E718" s="2" t="str">
        <f>"2170756197"</f>
        <v>2170756197</v>
      </c>
      <c r="F718" s="2" t="s">
        <v>17</v>
      </c>
      <c r="G718" s="2" t="s">
        <v>18</v>
      </c>
      <c r="H718" s="2" t="s">
        <v>18</v>
      </c>
      <c r="I718" s="2" t="s">
        <v>57</v>
      </c>
      <c r="J718" s="2" t="s">
        <v>765</v>
      </c>
      <c r="K718" s="2" t="s">
        <v>698</v>
      </c>
      <c r="L718" s="3">
        <v>0.40833333333333338</v>
      </c>
      <c r="M718" s="2" t="s">
        <v>824</v>
      </c>
      <c r="N718" s="2" t="s">
        <v>500</v>
      </c>
      <c r="O718" s="5"/>
    </row>
    <row r="719" spans="1:15" s="4" customFormat="1" x14ac:dyDescent="0.25">
      <c r="A719" s="2" t="s">
        <v>15</v>
      </c>
      <c r="B719" s="2" t="str">
        <f>"FES1162768342"</f>
        <v>FES1162768342</v>
      </c>
      <c r="C719" s="2" t="s">
        <v>510</v>
      </c>
      <c r="D719" s="2">
        <v>1</v>
      </c>
      <c r="E719" s="2" t="str">
        <f>"2170756225"</f>
        <v>2170756225</v>
      </c>
      <c r="F719" s="2" t="s">
        <v>17</v>
      </c>
      <c r="G719" s="2" t="s">
        <v>18</v>
      </c>
      <c r="H719" s="2" t="s">
        <v>18</v>
      </c>
      <c r="I719" s="2" t="s">
        <v>82</v>
      </c>
      <c r="J719" s="2" t="s">
        <v>766</v>
      </c>
      <c r="K719" s="2" t="s">
        <v>698</v>
      </c>
      <c r="L719" s="3">
        <v>0.36458333333333331</v>
      </c>
      <c r="M719" s="2" t="s">
        <v>825</v>
      </c>
      <c r="N719" s="2" t="s">
        <v>500</v>
      </c>
      <c r="O719" s="5"/>
    </row>
    <row r="720" spans="1:15" s="4" customFormat="1" x14ac:dyDescent="0.25">
      <c r="A720" s="2" t="s">
        <v>15</v>
      </c>
      <c r="B720" s="2" t="str">
        <f>"FES1162768365"</f>
        <v>FES1162768365</v>
      </c>
      <c r="C720" s="2" t="s">
        <v>510</v>
      </c>
      <c r="D720" s="2">
        <v>1</v>
      </c>
      <c r="E720" s="2" t="str">
        <f>"2170756253"</f>
        <v>2170756253</v>
      </c>
      <c r="F720" s="2" t="s">
        <v>17</v>
      </c>
      <c r="G720" s="2" t="s">
        <v>18</v>
      </c>
      <c r="H720" s="2" t="s">
        <v>19</v>
      </c>
      <c r="I720" s="2" t="s">
        <v>20</v>
      </c>
      <c r="J720" s="2" t="s">
        <v>767</v>
      </c>
      <c r="K720" s="2" t="s">
        <v>698</v>
      </c>
      <c r="L720" s="3">
        <v>0.31458333333333333</v>
      </c>
      <c r="M720" s="2" t="s">
        <v>826</v>
      </c>
      <c r="N720" s="2" t="s">
        <v>500</v>
      </c>
      <c r="O720" s="5"/>
    </row>
    <row r="721" spans="1:15" s="4" customFormat="1" x14ac:dyDescent="0.25">
      <c r="A721" s="2" t="s">
        <v>15</v>
      </c>
      <c r="B721" s="2" t="str">
        <f>"FES1162768300"</f>
        <v>FES1162768300</v>
      </c>
      <c r="C721" s="2" t="s">
        <v>510</v>
      </c>
      <c r="D721" s="2">
        <v>1</v>
      </c>
      <c r="E721" s="2" t="str">
        <f>"2170756152"</f>
        <v>2170756152</v>
      </c>
      <c r="F721" s="2" t="s">
        <v>17</v>
      </c>
      <c r="G721" s="2" t="s">
        <v>18</v>
      </c>
      <c r="H721" s="2" t="s">
        <v>18</v>
      </c>
      <c r="I721" s="2" t="s">
        <v>97</v>
      </c>
      <c r="J721" s="2" t="s">
        <v>285</v>
      </c>
      <c r="K721" s="2" t="s">
        <v>698</v>
      </c>
      <c r="L721" s="3">
        <v>0.41666666666666669</v>
      </c>
      <c r="M721" s="2" t="s">
        <v>827</v>
      </c>
      <c r="N721" s="2" t="s">
        <v>500</v>
      </c>
      <c r="O721" s="5"/>
    </row>
    <row r="722" spans="1:15" s="4" customFormat="1" x14ac:dyDescent="0.25">
      <c r="A722" s="2" t="s">
        <v>15</v>
      </c>
      <c r="B722" s="2" t="str">
        <f>"FES1162768283"</f>
        <v>FES1162768283</v>
      </c>
      <c r="C722" s="2" t="s">
        <v>510</v>
      </c>
      <c r="D722" s="2">
        <v>1</v>
      </c>
      <c r="E722" s="2" t="str">
        <f>"2170754269"</f>
        <v>2170754269</v>
      </c>
      <c r="F722" s="2" t="s">
        <v>17</v>
      </c>
      <c r="G722" s="2" t="s">
        <v>18</v>
      </c>
      <c r="H722" s="2" t="s">
        <v>18</v>
      </c>
      <c r="I722" s="2" t="s">
        <v>157</v>
      </c>
      <c r="J722" s="2" t="s">
        <v>347</v>
      </c>
      <c r="K722" s="2" t="s">
        <v>698</v>
      </c>
      <c r="L722" s="3">
        <v>0.56736111111111109</v>
      </c>
      <c r="M722" s="2" t="s">
        <v>828</v>
      </c>
      <c r="N722" s="2" t="s">
        <v>500</v>
      </c>
      <c r="O722" s="5"/>
    </row>
    <row r="723" spans="1:15" x14ac:dyDescent="0.25">
      <c r="A723" s="2" t="s">
        <v>15</v>
      </c>
      <c r="B723" s="2" t="str">
        <f>"FES1162768306"</f>
        <v>FES1162768306</v>
      </c>
      <c r="C723" s="2" t="s">
        <v>510</v>
      </c>
      <c r="D723" s="2">
        <v>1</v>
      </c>
      <c r="E723" s="2" t="str">
        <f>"2170756176"</f>
        <v>2170756176</v>
      </c>
      <c r="F723" s="2" t="s">
        <v>17</v>
      </c>
      <c r="G723" s="2" t="s">
        <v>18</v>
      </c>
      <c r="H723" s="2" t="s">
        <v>18</v>
      </c>
      <c r="I723" s="2" t="s">
        <v>46</v>
      </c>
      <c r="J723" s="2" t="s">
        <v>115</v>
      </c>
      <c r="K723" s="2" t="s">
        <v>698</v>
      </c>
      <c r="L723" s="3">
        <v>0.31944444444444448</v>
      </c>
      <c r="M723" s="2" t="s">
        <v>829</v>
      </c>
      <c r="N723" s="2" t="s">
        <v>500</v>
      </c>
      <c r="O723" s="2"/>
    </row>
    <row r="724" spans="1:15" s="4" customFormat="1" x14ac:dyDescent="0.25">
      <c r="A724" s="2" t="s">
        <v>15</v>
      </c>
      <c r="B724" s="2" t="str">
        <f>"FES1162768318"</f>
        <v>FES1162768318</v>
      </c>
      <c r="C724" s="2" t="s">
        <v>510</v>
      </c>
      <c r="D724" s="2">
        <v>1</v>
      </c>
      <c r="E724" s="2" t="str">
        <f>"2170756192"</f>
        <v>2170756192</v>
      </c>
      <c r="F724" s="2" t="s">
        <v>17</v>
      </c>
      <c r="G724" s="2" t="s">
        <v>18</v>
      </c>
      <c r="H724" s="2" t="s">
        <v>18</v>
      </c>
      <c r="I724" s="2" t="s">
        <v>46</v>
      </c>
      <c r="J724" s="2" t="s">
        <v>59</v>
      </c>
      <c r="K724" s="2" t="s">
        <v>698</v>
      </c>
      <c r="L724" s="3">
        <v>0.4375</v>
      </c>
      <c r="M724" s="2" t="s">
        <v>823</v>
      </c>
      <c r="N724" s="2" t="s">
        <v>500</v>
      </c>
      <c r="O724" s="5"/>
    </row>
    <row r="725" spans="1:15" s="4" customFormat="1" x14ac:dyDescent="0.25">
      <c r="A725" s="2" t="s">
        <v>15</v>
      </c>
      <c r="B725" s="2" t="str">
        <f>"FES1162768353"</f>
        <v>FES1162768353</v>
      </c>
      <c r="C725" s="2" t="s">
        <v>510</v>
      </c>
      <c r="D725" s="2">
        <v>1</v>
      </c>
      <c r="E725" s="2" t="str">
        <f>"2170756236"</f>
        <v>2170756236</v>
      </c>
      <c r="F725" s="2" t="s">
        <v>17</v>
      </c>
      <c r="G725" s="2" t="s">
        <v>18</v>
      </c>
      <c r="H725" s="2" t="s">
        <v>18</v>
      </c>
      <c r="I725" s="2" t="s">
        <v>478</v>
      </c>
      <c r="J725" s="2" t="s">
        <v>768</v>
      </c>
      <c r="K725" s="2" t="s">
        <v>698</v>
      </c>
      <c r="L725" s="3">
        <v>0.34861111111111115</v>
      </c>
      <c r="M725" s="2" t="s">
        <v>830</v>
      </c>
      <c r="N725" s="2" t="s">
        <v>500</v>
      </c>
      <c r="O725" s="5"/>
    </row>
    <row r="726" spans="1:15" s="4" customFormat="1" x14ac:dyDescent="0.25">
      <c r="A726" s="2" t="s">
        <v>15</v>
      </c>
      <c r="B726" s="2" t="str">
        <f>"FES1162768328"</f>
        <v>FES1162768328</v>
      </c>
      <c r="C726" s="2" t="s">
        <v>510</v>
      </c>
      <c r="D726" s="2">
        <v>1</v>
      </c>
      <c r="E726" s="2" t="str">
        <f>"2170756215"</f>
        <v>2170756215</v>
      </c>
      <c r="F726" s="2" t="s">
        <v>17</v>
      </c>
      <c r="G726" s="2" t="s">
        <v>18</v>
      </c>
      <c r="H726" s="2" t="s">
        <v>484</v>
      </c>
      <c r="I726" s="2" t="s">
        <v>675</v>
      </c>
      <c r="J726" s="2" t="s">
        <v>769</v>
      </c>
      <c r="K726" s="2" t="s">
        <v>698</v>
      </c>
      <c r="L726" s="3">
        <v>0.4375</v>
      </c>
      <c r="M726" s="2" t="s">
        <v>831</v>
      </c>
      <c r="N726" s="2" t="s">
        <v>500</v>
      </c>
      <c r="O726" s="5"/>
    </row>
    <row r="727" spans="1:15" s="4" customFormat="1" x14ac:dyDescent="0.25">
      <c r="A727" s="2" t="s">
        <v>15</v>
      </c>
      <c r="B727" s="2" t="str">
        <f>"FES1162768348"</f>
        <v>FES1162768348</v>
      </c>
      <c r="C727" s="2" t="s">
        <v>510</v>
      </c>
      <c r="D727" s="2">
        <v>1</v>
      </c>
      <c r="E727" s="2" t="str">
        <f>"2170756231"</f>
        <v>2170756231</v>
      </c>
      <c r="F727" s="2" t="s">
        <v>17</v>
      </c>
      <c r="G727" s="2" t="s">
        <v>18</v>
      </c>
      <c r="H727" s="2" t="s">
        <v>18</v>
      </c>
      <c r="I727" s="2" t="s">
        <v>65</v>
      </c>
      <c r="J727" s="2" t="s">
        <v>770</v>
      </c>
      <c r="K727" s="2" t="s">
        <v>698</v>
      </c>
      <c r="L727" s="3">
        <v>0.34791666666666665</v>
      </c>
      <c r="M727" s="2" t="s">
        <v>832</v>
      </c>
      <c r="N727" s="2" t="s">
        <v>500</v>
      </c>
      <c r="O727" s="5"/>
    </row>
    <row r="728" spans="1:15" s="4" customFormat="1" x14ac:dyDescent="0.25">
      <c r="A728" s="2" t="s">
        <v>15</v>
      </c>
      <c r="B728" s="2" t="str">
        <f>"FES1162768286"</f>
        <v>FES1162768286</v>
      </c>
      <c r="C728" s="2" t="s">
        <v>510</v>
      </c>
      <c r="D728" s="2">
        <v>1</v>
      </c>
      <c r="E728" s="2" t="str">
        <f>"2170755150"</f>
        <v>2170755150</v>
      </c>
      <c r="F728" s="2" t="s">
        <v>17</v>
      </c>
      <c r="G728" s="2" t="s">
        <v>18</v>
      </c>
      <c r="H728" s="2" t="s">
        <v>88</v>
      </c>
      <c r="I728" s="2" t="s">
        <v>109</v>
      </c>
      <c r="J728" s="2" t="s">
        <v>614</v>
      </c>
      <c r="K728" s="2" t="s">
        <v>802</v>
      </c>
      <c r="L728" s="3">
        <v>0.52569444444444446</v>
      </c>
      <c r="M728" s="2" t="s">
        <v>919</v>
      </c>
      <c r="N728" s="2" t="s">
        <v>500</v>
      </c>
      <c r="O728" s="5"/>
    </row>
    <row r="729" spans="1:15" s="4" customFormat="1" x14ac:dyDescent="0.25">
      <c r="A729" s="2" t="s">
        <v>15</v>
      </c>
      <c r="B729" s="2" t="str">
        <f>"FES1162768344"</f>
        <v>FES1162768344</v>
      </c>
      <c r="C729" s="2" t="s">
        <v>510</v>
      </c>
      <c r="D729" s="2">
        <v>1</v>
      </c>
      <c r="E729" s="2" t="str">
        <f>"2170756227"</f>
        <v>2170756227</v>
      </c>
      <c r="F729" s="2" t="s">
        <v>17</v>
      </c>
      <c r="G729" s="2" t="s">
        <v>18</v>
      </c>
      <c r="H729" s="2" t="s">
        <v>18</v>
      </c>
      <c r="I729" s="2" t="s">
        <v>57</v>
      </c>
      <c r="J729" s="2" t="s">
        <v>92</v>
      </c>
      <c r="K729" s="2" t="s">
        <v>802</v>
      </c>
      <c r="L729" s="3">
        <v>0.29583333333333334</v>
      </c>
      <c r="M729" s="2" t="s">
        <v>693</v>
      </c>
      <c r="N729" s="2" t="s">
        <v>500</v>
      </c>
      <c r="O729" s="5"/>
    </row>
    <row r="730" spans="1:15" s="4" customFormat="1" x14ac:dyDescent="0.25">
      <c r="A730" s="2" t="s">
        <v>15</v>
      </c>
      <c r="B730" s="2" t="str">
        <f>"FES1162768193"</f>
        <v>FES1162768193</v>
      </c>
      <c r="C730" s="2" t="s">
        <v>510</v>
      </c>
      <c r="D730" s="2">
        <v>1</v>
      </c>
      <c r="E730" s="2" t="str">
        <f>"2170755879"</f>
        <v>2170755879</v>
      </c>
      <c r="F730" s="2" t="s">
        <v>17</v>
      </c>
      <c r="G730" s="2" t="s">
        <v>18</v>
      </c>
      <c r="H730" s="2" t="s">
        <v>18</v>
      </c>
      <c r="I730" s="2" t="s">
        <v>116</v>
      </c>
      <c r="J730" s="2" t="s">
        <v>771</v>
      </c>
      <c r="K730" s="2" t="s">
        <v>802</v>
      </c>
      <c r="L730" s="3">
        <v>0.33333333333333331</v>
      </c>
      <c r="M730" s="2" t="s">
        <v>925</v>
      </c>
      <c r="N730" s="2" t="s">
        <v>500</v>
      </c>
      <c r="O730" s="5"/>
    </row>
    <row r="731" spans="1:15" s="4" customFormat="1" x14ac:dyDescent="0.25">
      <c r="A731" s="2" t="s">
        <v>15</v>
      </c>
      <c r="B731" s="2" t="str">
        <f>"FES1162768225"</f>
        <v>FES1162768225</v>
      </c>
      <c r="C731" s="2" t="s">
        <v>510</v>
      </c>
      <c r="D731" s="2">
        <v>1</v>
      </c>
      <c r="E731" s="2" t="str">
        <f>"2170756091"</f>
        <v>2170756091</v>
      </c>
      <c r="F731" s="2" t="s">
        <v>17</v>
      </c>
      <c r="G731" s="2" t="s">
        <v>18</v>
      </c>
      <c r="H731" s="2" t="s">
        <v>33</v>
      </c>
      <c r="I731" s="2" t="s">
        <v>34</v>
      </c>
      <c r="J731" s="2" t="s">
        <v>71</v>
      </c>
      <c r="K731" s="2" t="s">
        <v>698</v>
      </c>
      <c r="L731" s="3">
        <v>0.56458333333333333</v>
      </c>
      <c r="M731" s="2" t="s">
        <v>821</v>
      </c>
      <c r="N731" s="2" t="s">
        <v>500</v>
      </c>
      <c r="O731" s="5"/>
    </row>
    <row r="732" spans="1:15" x14ac:dyDescent="0.25">
      <c r="A732" s="2" t="s">
        <v>15</v>
      </c>
      <c r="B732" s="2" t="str">
        <f>"FES1162768360"</f>
        <v>FES1162768360</v>
      </c>
      <c r="C732" s="2" t="s">
        <v>510</v>
      </c>
      <c r="D732" s="2">
        <v>1</v>
      </c>
      <c r="E732" s="2" t="str">
        <f>"2170756248"</f>
        <v>2170756248</v>
      </c>
      <c r="F732" s="2" t="s">
        <v>17</v>
      </c>
      <c r="G732" s="2" t="s">
        <v>18</v>
      </c>
      <c r="H732" s="2" t="s">
        <v>25</v>
      </c>
      <c r="I732" s="2" t="s">
        <v>26</v>
      </c>
      <c r="J732" s="2" t="s">
        <v>772</v>
      </c>
      <c r="K732" s="2" t="s">
        <v>698</v>
      </c>
      <c r="L732" s="3">
        <v>0.32847222222222222</v>
      </c>
      <c r="M732" s="2" t="s">
        <v>773</v>
      </c>
      <c r="N732" s="2" t="s">
        <v>500</v>
      </c>
      <c r="O732" s="2"/>
    </row>
    <row r="733" spans="1:15" s="4" customFormat="1" x14ac:dyDescent="0.25">
      <c r="A733" s="2" t="s">
        <v>15</v>
      </c>
      <c r="B733" s="2" t="str">
        <f>"FES1162768289"</f>
        <v>FES1162768289</v>
      </c>
      <c r="C733" s="2" t="s">
        <v>510</v>
      </c>
      <c r="D733" s="2">
        <v>1</v>
      </c>
      <c r="E733" s="2" t="str">
        <f>"2170755539"</f>
        <v>2170755539</v>
      </c>
      <c r="F733" s="2" t="s">
        <v>17</v>
      </c>
      <c r="G733" s="2" t="s">
        <v>18</v>
      </c>
      <c r="H733" s="2" t="s">
        <v>18</v>
      </c>
      <c r="I733" s="2" t="s">
        <v>116</v>
      </c>
      <c r="J733" s="2" t="s">
        <v>774</v>
      </c>
      <c r="K733" s="2" t="s">
        <v>698</v>
      </c>
      <c r="L733" s="3">
        <v>0.42499999999999999</v>
      </c>
      <c r="M733" s="2" t="s">
        <v>833</v>
      </c>
      <c r="N733" s="2" t="s">
        <v>500</v>
      </c>
      <c r="O733" s="5"/>
    </row>
    <row r="734" spans="1:15" s="4" customFormat="1" x14ac:dyDescent="0.25">
      <c r="A734" s="2" t="s">
        <v>15</v>
      </c>
      <c r="B734" s="2" t="str">
        <f>"FES1162768312"</f>
        <v>FES1162768312</v>
      </c>
      <c r="C734" s="2" t="s">
        <v>510</v>
      </c>
      <c r="D734" s="2">
        <v>1</v>
      </c>
      <c r="E734" s="2" t="str">
        <f>"2170756183"</f>
        <v>2170756183</v>
      </c>
      <c r="F734" s="2" t="s">
        <v>17</v>
      </c>
      <c r="G734" s="2" t="s">
        <v>18</v>
      </c>
      <c r="H734" s="2" t="s">
        <v>36</v>
      </c>
      <c r="I734" s="2" t="s">
        <v>37</v>
      </c>
      <c r="J734" s="2" t="s">
        <v>102</v>
      </c>
      <c r="K734" s="2" t="s">
        <v>698</v>
      </c>
      <c r="L734" s="3">
        <v>0.38958333333333334</v>
      </c>
      <c r="M734" s="2" t="s">
        <v>398</v>
      </c>
      <c r="N734" s="2" t="s">
        <v>500</v>
      </c>
      <c r="O734" s="5"/>
    </row>
    <row r="735" spans="1:15" s="4" customFormat="1" x14ac:dyDescent="0.25">
      <c r="A735" s="2" t="s">
        <v>15</v>
      </c>
      <c r="B735" s="2" t="str">
        <f>"FES1162768248"</f>
        <v>FES1162768248</v>
      </c>
      <c r="C735" s="2" t="s">
        <v>510</v>
      </c>
      <c r="D735" s="2">
        <v>1</v>
      </c>
      <c r="E735" s="2" t="str">
        <f>"2170756131"</f>
        <v>2170756131</v>
      </c>
      <c r="F735" s="2" t="s">
        <v>17</v>
      </c>
      <c r="G735" s="2" t="s">
        <v>18</v>
      </c>
      <c r="H735" s="2" t="s">
        <v>36</v>
      </c>
      <c r="I735" s="2" t="s">
        <v>37</v>
      </c>
      <c r="J735" s="2" t="s">
        <v>303</v>
      </c>
      <c r="K735" s="2" t="s">
        <v>698</v>
      </c>
      <c r="L735" s="3">
        <v>0.3888888888888889</v>
      </c>
      <c r="M735" s="2" t="s">
        <v>307</v>
      </c>
      <c r="N735" s="2" t="s">
        <v>500</v>
      </c>
      <c r="O735" s="5"/>
    </row>
    <row r="736" spans="1:15" s="4" customFormat="1" x14ac:dyDescent="0.25">
      <c r="A736" s="2" t="s">
        <v>15</v>
      </c>
      <c r="B736" s="2" t="str">
        <f>"FES116278347"</f>
        <v>FES116278347</v>
      </c>
      <c r="C736" s="2" t="s">
        <v>510</v>
      </c>
      <c r="D736" s="2">
        <v>1</v>
      </c>
      <c r="E736" s="2" t="str">
        <f>"2170756229"</f>
        <v>2170756229</v>
      </c>
      <c r="F736" s="2" t="s">
        <v>17</v>
      </c>
      <c r="G736" s="2" t="s">
        <v>18</v>
      </c>
      <c r="H736" s="2" t="s">
        <v>25</v>
      </c>
      <c r="I736" s="2" t="s">
        <v>361</v>
      </c>
      <c r="J736" s="2" t="s">
        <v>280</v>
      </c>
      <c r="K736" s="2" t="s">
        <v>698</v>
      </c>
      <c r="L736" s="3">
        <v>0.41666666666666669</v>
      </c>
      <c r="M736" s="2" t="s">
        <v>834</v>
      </c>
      <c r="N736" s="2" t="s">
        <v>500</v>
      </c>
      <c r="O736" s="5"/>
    </row>
    <row r="737" spans="1:15" s="4" customFormat="1" x14ac:dyDescent="0.25">
      <c r="A737" s="2" t="s">
        <v>15</v>
      </c>
      <c r="B737" s="2" t="str">
        <f>"FES116278327"</f>
        <v>FES116278327</v>
      </c>
      <c r="C737" s="2" t="s">
        <v>510</v>
      </c>
      <c r="D737" s="2">
        <v>1</v>
      </c>
      <c r="E737" s="2" t="str">
        <f>"2170756211"</f>
        <v>2170756211</v>
      </c>
      <c r="F737" s="2" t="s">
        <v>17</v>
      </c>
      <c r="G737" s="2" t="s">
        <v>18</v>
      </c>
      <c r="H737" s="2" t="s">
        <v>18</v>
      </c>
      <c r="I737" s="2" t="s">
        <v>46</v>
      </c>
      <c r="J737" s="2" t="s">
        <v>115</v>
      </c>
      <c r="K737" s="2" t="s">
        <v>698</v>
      </c>
      <c r="L737" s="3">
        <v>0.31944444444444448</v>
      </c>
      <c r="M737" s="2" t="s">
        <v>829</v>
      </c>
      <c r="N737" s="2" t="s">
        <v>500</v>
      </c>
      <c r="O737" s="5"/>
    </row>
    <row r="738" spans="1:15" s="4" customFormat="1" x14ac:dyDescent="0.25">
      <c r="A738" s="2" t="s">
        <v>15</v>
      </c>
      <c r="B738" s="2" t="str">
        <f>"FES1162768220"</f>
        <v>FES1162768220</v>
      </c>
      <c r="C738" s="2" t="s">
        <v>510</v>
      </c>
      <c r="D738" s="2">
        <v>1</v>
      </c>
      <c r="E738" s="2" t="str">
        <f>"2170756110"</f>
        <v>2170756110</v>
      </c>
      <c r="F738" s="2" t="s">
        <v>17</v>
      </c>
      <c r="G738" s="2" t="s">
        <v>18</v>
      </c>
      <c r="H738" s="2" t="s">
        <v>36</v>
      </c>
      <c r="I738" s="2" t="s">
        <v>37</v>
      </c>
      <c r="J738" s="2" t="s">
        <v>279</v>
      </c>
      <c r="K738" s="2" t="s">
        <v>698</v>
      </c>
      <c r="L738" s="3">
        <v>0.39999999999999997</v>
      </c>
      <c r="M738" s="2" t="s">
        <v>719</v>
      </c>
      <c r="N738" s="2" t="s">
        <v>500</v>
      </c>
      <c r="O738" s="5"/>
    </row>
    <row r="739" spans="1:15" s="4" customFormat="1" x14ac:dyDescent="0.25">
      <c r="A739" s="2" t="s">
        <v>15</v>
      </c>
      <c r="B739" s="2" t="str">
        <f>"FES1162768035"</f>
        <v>FES1162768035</v>
      </c>
      <c r="C739" s="2" t="s">
        <v>510</v>
      </c>
      <c r="D739" s="2">
        <v>1</v>
      </c>
      <c r="E739" s="2" t="str">
        <f>"2170754234"</f>
        <v>2170754234</v>
      </c>
      <c r="F739" s="2" t="s">
        <v>17</v>
      </c>
      <c r="G739" s="2" t="s">
        <v>18</v>
      </c>
      <c r="H739" s="2" t="s">
        <v>36</v>
      </c>
      <c r="I739" s="2" t="s">
        <v>134</v>
      </c>
      <c r="J739" s="2" t="s">
        <v>135</v>
      </c>
      <c r="K739" s="2" t="s">
        <v>698</v>
      </c>
      <c r="L739" s="3">
        <v>0.50763888888888886</v>
      </c>
      <c r="M739" s="2" t="s">
        <v>835</v>
      </c>
      <c r="N739" s="2" t="s">
        <v>500</v>
      </c>
      <c r="O739" s="5"/>
    </row>
    <row r="740" spans="1:15" s="4" customFormat="1" x14ac:dyDescent="0.25">
      <c r="A740" s="2" t="s">
        <v>15</v>
      </c>
      <c r="B740" s="2" t="str">
        <f>"FES1162768315"</f>
        <v>FES1162768315</v>
      </c>
      <c r="C740" s="2" t="s">
        <v>510</v>
      </c>
      <c r="D740" s="2">
        <v>1</v>
      </c>
      <c r="E740" s="2" t="str">
        <f>"2170756187"</f>
        <v>2170756187</v>
      </c>
      <c r="F740" s="2" t="s">
        <v>17</v>
      </c>
      <c r="G740" s="2" t="s">
        <v>18</v>
      </c>
      <c r="H740" s="2" t="s">
        <v>36</v>
      </c>
      <c r="I740" s="2" t="s">
        <v>37</v>
      </c>
      <c r="J740" s="2" t="s">
        <v>102</v>
      </c>
      <c r="K740" s="2" t="s">
        <v>698</v>
      </c>
      <c r="L740" s="3">
        <v>0.34791666666666665</v>
      </c>
      <c r="M740" s="2" t="s">
        <v>398</v>
      </c>
      <c r="N740" s="2" t="s">
        <v>500</v>
      </c>
      <c r="O740" s="5"/>
    </row>
    <row r="741" spans="1:15" s="4" customFormat="1" x14ac:dyDescent="0.25">
      <c r="A741" s="2" t="s">
        <v>15</v>
      </c>
      <c r="B741" s="2" t="str">
        <f>"FES1162768313"</f>
        <v>FES1162768313</v>
      </c>
      <c r="C741" s="2" t="s">
        <v>510</v>
      </c>
      <c r="D741" s="2">
        <v>1</v>
      </c>
      <c r="E741" s="2" t="str">
        <f>"2170756185"</f>
        <v>2170756185</v>
      </c>
      <c r="F741" s="2" t="s">
        <v>17</v>
      </c>
      <c r="G741" s="2" t="s">
        <v>18</v>
      </c>
      <c r="H741" s="2" t="s">
        <v>36</v>
      </c>
      <c r="I741" s="2" t="s">
        <v>37</v>
      </c>
      <c r="J741" s="2" t="s">
        <v>102</v>
      </c>
      <c r="K741" s="2" t="s">
        <v>698</v>
      </c>
      <c r="L741" s="3">
        <v>0.38958333333333334</v>
      </c>
      <c r="M741" s="2" t="s">
        <v>398</v>
      </c>
      <c r="N741" s="2" t="s">
        <v>500</v>
      </c>
      <c r="O741" s="5"/>
    </row>
    <row r="742" spans="1:15" s="4" customFormat="1" x14ac:dyDescent="0.25">
      <c r="A742" s="2" t="s">
        <v>15</v>
      </c>
      <c r="B742" s="2" t="str">
        <f>"FES1162768349"</f>
        <v>FES1162768349</v>
      </c>
      <c r="C742" s="2" t="s">
        <v>510</v>
      </c>
      <c r="D742" s="2">
        <v>1</v>
      </c>
      <c r="E742" s="2" t="str">
        <f>"2170756232"</f>
        <v>2170756232</v>
      </c>
      <c r="F742" s="2" t="s">
        <v>17</v>
      </c>
      <c r="G742" s="2" t="s">
        <v>18</v>
      </c>
      <c r="H742" s="2" t="s">
        <v>18</v>
      </c>
      <c r="I742" s="2" t="s">
        <v>63</v>
      </c>
      <c r="J742" s="2" t="s">
        <v>93</v>
      </c>
      <c r="K742" s="2" t="s">
        <v>698</v>
      </c>
      <c r="L742" s="3">
        <v>0.38750000000000001</v>
      </c>
      <c r="M742" s="2" t="s">
        <v>210</v>
      </c>
      <c r="N742" s="2" t="s">
        <v>500</v>
      </c>
      <c r="O742" s="5"/>
    </row>
    <row r="743" spans="1:15" s="4" customFormat="1" x14ac:dyDescent="0.25">
      <c r="A743" s="2" t="s">
        <v>15</v>
      </c>
      <c r="B743" s="2" t="str">
        <f>"FES1162768244"</f>
        <v>FES1162768244</v>
      </c>
      <c r="C743" s="2" t="s">
        <v>510</v>
      </c>
      <c r="D743" s="2">
        <v>1</v>
      </c>
      <c r="E743" s="2" t="str">
        <f>"2170752633"</f>
        <v>2170752633</v>
      </c>
      <c r="F743" s="2" t="s">
        <v>17</v>
      </c>
      <c r="G743" s="2" t="s">
        <v>18</v>
      </c>
      <c r="H743" s="2" t="s">
        <v>36</v>
      </c>
      <c r="I743" s="2" t="s">
        <v>37</v>
      </c>
      <c r="J743" s="2" t="s">
        <v>162</v>
      </c>
      <c r="K743" s="2" t="s">
        <v>698</v>
      </c>
      <c r="L743" s="3">
        <v>0.34027777777777773</v>
      </c>
      <c r="M743" s="2" t="s">
        <v>268</v>
      </c>
      <c r="N743" s="2" t="s">
        <v>500</v>
      </c>
      <c r="O743" s="5"/>
    </row>
    <row r="744" spans="1:15" s="4" customFormat="1" x14ac:dyDescent="0.25">
      <c r="A744" s="2" t="s">
        <v>15</v>
      </c>
      <c r="B744" s="2" t="str">
        <f>"FES1162768251"</f>
        <v>FES1162768251</v>
      </c>
      <c r="C744" s="2" t="s">
        <v>510</v>
      </c>
      <c r="D744" s="2">
        <v>1</v>
      </c>
      <c r="E744" s="2" t="str">
        <f>"2170756135"</f>
        <v>2170756135</v>
      </c>
      <c r="F744" s="2" t="s">
        <v>17</v>
      </c>
      <c r="G744" s="2" t="s">
        <v>18</v>
      </c>
      <c r="H744" s="2" t="s">
        <v>36</v>
      </c>
      <c r="I744" s="2" t="s">
        <v>37</v>
      </c>
      <c r="J744" s="2" t="s">
        <v>55</v>
      </c>
      <c r="K744" s="2" t="s">
        <v>698</v>
      </c>
      <c r="L744" s="3">
        <v>0.3888888888888889</v>
      </c>
      <c r="M744" s="2" t="s">
        <v>836</v>
      </c>
      <c r="N744" s="2" t="s">
        <v>500</v>
      </c>
      <c r="O744" s="5"/>
    </row>
    <row r="745" spans="1:15" s="4" customFormat="1" x14ac:dyDescent="0.25">
      <c r="A745" s="2" t="s">
        <v>15</v>
      </c>
      <c r="B745" s="2" t="str">
        <f>"FES1162768277"</f>
        <v>FES1162768277</v>
      </c>
      <c r="C745" s="2" t="s">
        <v>510</v>
      </c>
      <c r="D745" s="2">
        <v>1</v>
      </c>
      <c r="E745" s="2" t="str">
        <f>"2170756163"</f>
        <v>2170756163</v>
      </c>
      <c r="F745" s="2" t="s">
        <v>17</v>
      </c>
      <c r="G745" s="2" t="s">
        <v>18</v>
      </c>
      <c r="H745" s="2" t="s">
        <v>33</v>
      </c>
      <c r="I745" s="2" t="s">
        <v>34</v>
      </c>
      <c r="J745" s="2" t="s">
        <v>315</v>
      </c>
      <c r="K745" s="2" t="s">
        <v>698</v>
      </c>
      <c r="L745" s="3">
        <v>0.43333333333333335</v>
      </c>
      <c r="M745" s="2" t="s">
        <v>316</v>
      </c>
      <c r="N745" s="2" t="s">
        <v>500</v>
      </c>
      <c r="O745" s="5"/>
    </row>
    <row r="746" spans="1:15" s="4" customFormat="1" x14ac:dyDescent="0.25">
      <c r="A746" s="2" t="s">
        <v>15</v>
      </c>
      <c r="B746" s="2" t="str">
        <f>"FES1162768335"</f>
        <v>FES1162768335</v>
      </c>
      <c r="C746" s="2" t="s">
        <v>510</v>
      </c>
      <c r="D746" s="2">
        <v>1</v>
      </c>
      <c r="E746" s="2" t="str">
        <f>"2170749436"</f>
        <v>2170749436</v>
      </c>
      <c r="F746" s="2" t="s">
        <v>205</v>
      </c>
      <c r="G746" s="2" t="s">
        <v>206</v>
      </c>
      <c r="H746" s="2" t="s">
        <v>36</v>
      </c>
      <c r="I746" s="2" t="s">
        <v>37</v>
      </c>
      <c r="J746" s="2" t="s">
        <v>631</v>
      </c>
      <c r="K746" s="2" t="s">
        <v>802</v>
      </c>
      <c r="L746" s="3">
        <v>0.37847222222222227</v>
      </c>
      <c r="M746" s="2" t="s">
        <v>926</v>
      </c>
      <c r="N746" s="2" t="s">
        <v>500</v>
      </c>
      <c r="O746" s="5"/>
    </row>
    <row r="747" spans="1:15" s="4" customFormat="1" x14ac:dyDescent="0.25">
      <c r="A747" s="2" t="s">
        <v>15</v>
      </c>
      <c r="B747" s="2" t="str">
        <f>"FES1162768338"</f>
        <v>FES1162768338</v>
      </c>
      <c r="C747" s="2" t="s">
        <v>510</v>
      </c>
      <c r="D747" s="2">
        <v>1</v>
      </c>
      <c r="E747" s="2" t="str">
        <f>"2170753292"</f>
        <v>2170753292</v>
      </c>
      <c r="F747" s="2" t="s">
        <v>205</v>
      </c>
      <c r="G747" s="2" t="s">
        <v>206</v>
      </c>
      <c r="H747" s="2" t="s">
        <v>36</v>
      </c>
      <c r="I747" s="2" t="s">
        <v>37</v>
      </c>
      <c r="J747" s="2" t="s">
        <v>162</v>
      </c>
      <c r="K747" s="2" t="s">
        <v>802</v>
      </c>
      <c r="L747" s="3">
        <v>0.34027777777777773</v>
      </c>
      <c r="M747" s="2" t="s">
        <v>268</v>
      </c>
      <c r="N747" s="2" t="s">
        <v>500</v>
      </c>
      <c r="O747" s="5"/>
    </row>
    <row r="748" spans="1:15" s="4" customFormat="1" x14ac:dyDescent="0.25">
      <c r="A748" s="2" t="s">
        <v>15</v>
      </c>
      <c r="B748" s="2" t="str">
        <f>"FES1162768363"</f>
        <v>FES1162768363</v>
      </c>
      <c r="C748" s="2" t="s">
        <v>510</v>
      </c>
      <c r="D748" s="2">
        <v>1</v>
      </c>
      <c r="E748" s="2" t="str">
        <f>"2170754892"</f>
        <v>2170754892</v>
      </c>
      <c r="F748" s="2" t="s">
        <v>17</v>
      </c>
      <c r="G748" s="2" t="s">
        <v>18</v>
      </c>
      <c r="H748" s="2" t="s">
        <v>19</v>
      </c>
      <c r="I748" s="2" t="s">
        <v>20</v>
      </c>
      <c r="J748" s="2" t="s">
        <v>123</v>
      </c>
      <c r="K748" s="2" t="s">
        <v>698</v>
      </c>
      <c r="L748" s="3">
        <v>0.38819444444444445</v>
      </c>
      <c r="M748" s="2" t="s">
        <v>837</v>
      </c>
      <c r="N748" s="2" t="s">
        <v>500</v>
      </c>
      <c r="O748" s="5"/>
    </row>
    <row r="749" spans="1:15" s="4" customFormat="1" x14ac:dyDescent="0.25">
      <c r="A749" s="2" t="s">
        <v>15</v>
      </c>
      <c r="B749" s="2" t="str">
        <f>"FES1162768377"</f>
        <v>FES1162768377</v>
      </c>
      <c r="C749" s="2" t="s">
        <v>510</v>
      </c>
      <c r="D749" s="2">
        <v>1</v>
      </c>
      <c r="E749" s="2" t="str">
        <f>"2170754575"</f>
        <v>2170754575</v>
      </c>
      <c r="F749" s="2" t="s">
        <v>17</v>
      </c>
      <c r="G749" s="2" t="s">
        <v>18</v>
      </c>
      <c r="H749" s="2" t="s">
        <v>25</v>
      </c>
      <c r="I749" s="2" t="s">
        <v>26</v>
      </c>
      <c r="J749" s="2" t="s">
        <v>44</v>
      </c>
      <c r="K749" s="2" t="s">
        <v>698</v>
      </c>
      <c r="L749" s="3">
        <v>0.51527777777777783</v>
      </c>
      <c r="M749" s="2" t="s">
        <v>181</v>
      </c>
      <c r="N749" s="2" t="s">
        <v>500</v>
      </c>
      <c r="O749" s="5"/>
    </row>
    <row r="750" spans="1:15" s="4" customFormat="1" x14ac:dyDescent="0.25">
      <c r="A750" s="2" t="s">
        <v>15</v>
      </c>
      <c r="B750" s="2" t="str">
        <f>"FES1162768260"</f>
        <v>FES1162768260</v>
      </c>
      <c r="C750" s="2" t="s">
        <v>510</v>
      </c>
      <c r="D750" s="2">
        <v>2</v>
      </c>
      <c r="E750" s="2" t="str">
        <f>"2170753196"</f>
        <v>2170753196</v>
      </c>
      <c r="F750" s="2" t="s">
        <v>205</v>
      </c>
      <c r="G750" s="2" t="s">
        <v>206</v>
      </c>
      <c r="H750" s="2" t="s">
        <v>36</v>
      </c>
      <c r="I750" s="2" t="s">
        <v>37</v>
      </c>
      <c r="J750" s="2" t="s">
        <v>162</v>
      </c>
      <c r="K750" s="2" t="s">
        <v>802</v>
      </c>
      <c r="L750" s="3">
        <v>0.34027777777777773</v>
      </c>
      <c r="M750" s="2" t="s">
        <v>268</v>
      </c>
      <c r="N750" s="2" t="s">
        <v>500</v>
      </c>
      <c r="O750" s="5"/>
    </row>
    <row r="751" spans="1:15" s="4" customFormat="1" x14ac:dyDescent="0.25">
      <c r="A751" s="2" t="s">
        <v>15</v>
      </c>
      <c r="B751" s="2" t="str">
        <f>"FES1162768373"</f>
        <v>FES1162768373</v>
      </c>
      <c r="C751" s="2" t="s">
        <v>510</v>
      </c>
      <c r="D751" s="2">
        <v>2</v>
      </c>
      <c r="E751" s="2" t="str">
        <f>"2170756267"</f>
        <v>2170756267</v>
      </c>
      <c r="F751" s="2" t="s">
        <v>17</v>
      </c>
      <c r="G751" s="2" t="s">
        <v>18</v>
      </c>
      <c r="H751" s="2" t="s">
        <v>25</v>
      </c>
      <c r="I751" s="2" t="s">
        <v>26</v>
      </c>
      <c r="J751" s="2" t="s">
        <v>762</v>
      </c>
      <c r="K751" s="2" t="s">
        <v>698</v>
      </c>
      <c r="L751" s="3">
        <v>0.42430555555555555</v>
      </c>
      <c r="M751" s="2" t="s">
        <v>819</v>
      </c>
      <c r="N751" s="2" t="s">
        <v>500</v>
      </c>
      <c r="O751" s="5"/>
    </row>
    <row r="752" spans="1:15" s="4" customFormat="1" x14ac:dyDescent="0.25">
      <c r="A752" s="2" t="s">
        <v>15</v>
      </c>
      <c r="B752" s="2" t="str">
        <f>"FES1162768246"</f>
        <v>FES1162768246</v>
      </c>
      <c r="C752" s="2" t="s">
        <v>510</v>
      </c>
      <c r="D752" s="2">
        <v>1</v>
      </c>
      <c r="E752" s="2" t="str">
        <f>"2170753733"</f>
        <v>2170753733</v>
      </c>
      <c r="F752" s="2" t="s">
        <v>17</v>
      </c>
      <c r="G752" s="2" t="s">
        <v>18</v>
      </c>
      <c r="H752" s="2" t="s">
        <v>36</v>
      </c>
      <c r="I752" s="2" t="s">
        <v>37</v>
      </c>
      <c r="J752" s="2" t="s">
        <v>162</v>
      </c>
      <c r="K752" s="2" t="s">
        <v>698</v>
      </c>
      <c r="L752" s="3">
        <v>0.35902777777777778</v>
      </c>
      <c r="M752" s="2" t="s">
        <v>268</v>
      </c>
      <c r="N752" s="2" t="s">
        <v>500</v>
      </c>
      <c r="O752" s="5"/>
    </row>
    <row r="753" spans="1:15" s="4" customFormat="1" x14ac:dyDescent="0.25">
      <c r="A753" s="2" t="s">
        <v>15</v>
      </c>
      <c r="B753" s="2" t="str">
        <f>"FES1162768374"</f>
        <v>FES1162768374</v>
      </c>
      <c r="C753" s="2" t="s">
        <v>510</v>
      </c>
      <c r="D753" s="2">
        <v>1</v>
      </c>
      <c r="E753" s="2" t="str">
        <f>"2170756268"</f>
        <v>2170756268</v>
      </c>
      <c r="F753" s="2" t="s">
        <v>17</v>
      </c>
      <c r="G753" s="2" t="s">
        <v>18</v>
      </c>
      <c r="H753" s="2" t="s">
        <v>25</v>
      </c>
      <c r="I753" s="2" t="s">
        <v>26</v>
      </c>
      <c r="J753" s="2" t="s">
        <v>762</v>
      </c>
      <c r="K753" s="2" t="s">
        <v>698</v>
      </c>
      <c r="L753" s="3">
        <v>0.42430555555555555</v>
      </c>
      <c r="M753" s="2" t="s">
        <v>819</v>
      </c>
      <c r="N753" s="2" t="s">
        <v>500</v>
      </c>
      <c r="O753" s="5"/>
    </row>
    <row r="754" spans="1:15" s="4" customFormat="1" x14ac:dyDescent="0.25">
      <c r="A754" s="5" t="s">
        <v>15</v>
      </c>
      <c r="B754" s="5" t="str">
        <f>"FES1162768382"</f>
        <v>FES1162768382</v>
      </c>
      <c r="C754" s="5" t="s">
        <v>510</v>
      </c>
      <c r="D754" s="5">
        <v>1</v>
      </c>
      <c r="E754" s="5" t="str">
        <f>"2170756272"</f>
        <v>2170756272</v>
      </c>
      <c r="F754" s="5" t="s">
        <v>17</v>
      </c>
      <c r="G754" s="5" t="s">
        <v>18</v>
      </c>
      <c r="H754" s="5" t="s">
        <v>25</v>
      </c>
      <c r="I754" s="5" t="s">
        <v>624</v>
      </c>
      <c r="J754" s="5" t="s">
        <v>625</v>
      </c>
      <c r="K754" s="5" t="s">
        <v>802</v>
      </c>
      <c r="L754" s="9">
        <v>0.41666666666666669</v>
      </c>
      <c r="M754" s="5" t="s">
        <v>1245</v>
      </c>
      <c r="N754" s="5" t="s">
        <v>500</v>
      </c>
      <c r="O754" s="5"/>
    </row>
    <row r="755" spans="1:15" s="4" customFormat="1" x14ac:dyDescent="0.25">
      <c r="A755" s="2" t="s">
        <v>15</v>
      </c>
      <c r="B755" s="2" t="str">
        <f>"FES1162768375"</f>
        <v>FES1162768375</v>
      </c>
      <c r="C755" s="2" t="s">
        <v>510</v>
      </c>
      <c r="D755" s="2">
        <v>1</v>
      </c>
      <c r="E755" s="2" t="str">
        <f>"2170756269"</f>
        <v>2170756269</v>
      </c>
      <c r="F755" s="2" t="s">
        <v>17</v>
      </c>
      <c r="G755" s="2" t="s">
        <v>18</v>
      </c>
      <c r="H755" s="2" t="s">
        <v>78</v>
      </c>
      <c r="I755" s="2" t="s">
        <v>79</v>
      </c>
      <c r="J755" s="2" t="s">
        <v>775</v>
      </c>
      <c r="K755" s="2" t="s">
        <v>802</v>
      </c>
      <c r="L755" s="3">
        <v>0.4152777777777778</v>
      </c>
      <c r="M755" s="2" t="s">
        <v>927</v>
      </c>
      <c r="N755" s="2" t="s">
        <v>500</v>
      </c>
      <c r="O755" s="5"/>
    </row>
    <row r="756" spans="1:15" s="4" customFormat="1" x14ac:dyDescent="0.25">
      <c r="A756" s="2" t="s">
        <v>15</v>
      </c>
      <c r="B756" s="2" t="str">
        <f>"FES1162768290"</f>
        <v>FES1162768290</v>
      </c>
      <c r="C756" s="2" t="s">
        <v>510</v>
      </c>
      <c r="D756" s="2">
        <v>1</v>
      </c>
      <c r="E756" s="2" t="str">
        <f>"2170755755"</f>
        <v>2170755755</v>
      </c>
      <c r="F756" s="2" t="s">
        <v>17</v>
      </c>
      <c r="G756" s="2" t="s">
        <v>18</v>
      </c>
      <c r="H756" s="2" t="s">
        <v>25</v>
      </c>
      <c r="I756" s="2" t="s">
        <v>26</v>
      </c>
      <c r="J756" s="2" t="s">
        <v>75</v>
      </c>
      <c r="K756" s="2" t="s">
        <v>698</v>
      </c>
      <c r="L756" s="3">
        <v>0.35069444444444442</v>
      </c>
      <c r="M756" s="2" t="s">
        <v>196</v>
      </c>
      <c r="N756" s="2" t="s">
        <v>500</v>
      </c>
      <c r="O756" s="5"/>
    </row>
    <row r="757" spans="1:15" s="4" customFormat="1" x14ac:dyDescent="0.25">
      <c r="A757" s="2" t="s">
        <v>15</v>
      </c>
      <c r="B757" s="2" t="str">
        <f>"FES1162768330"</f>
        <v>FES1162768330</v>
      </c>
      <c r="C757" s="2" t="s">
        <v>510</v>
      </c>
      <c r="D757" s="2">
        <v>1</v>
      </c>
      <c r="E757" s="2" t="str">
        <f>"2170756217"</f>
        <v>2170756217</v>
      </c>
      <c r="F757" s="2" t="s">
        <v>17</v>
      </c>
      <c r="G757" s="2" t="s">
        <v>18</v>
      </c>
      <c r="H757" s="2" t="s">
        <v>18</v>
      </c>
      <c r="I757" s="2" t="s">
        <v>116</v>
      </c>
      <c r="J757" s="2" t="s">
        <v>493</v>
      </c>
      <c r="K757" s="2" t="s">
        <v>698</v>
      </c>
      <c r="L757" s="3">
        <v>0.3520833333333333</v>
      </c>
      <c r="M757" s="2" t="s">
        <v>598</v>
      </c>
      <c r="N757" s="2" t="s">
        <v>500</v>
      </c>
      <c r="O757" s="5"/>
    </row>
    <row r="758" spans="1:15" s="4" customFormat="1" x14ac:dyDescent="0.25">
      <c r="A758" s="2" t="s">
        <v>15</v>
      </c>
      <c r="B758" s="2" t="str">
        <f>"FES1162768386"</f>
        <v>FES1162768386</v>
      </c>
      <c r="C758" s="2" t="s">
        <v>510</v>
      </c>
      <c r="D758" s="2">
        <v>1</v>
      </c>
      <c r="E758" s="2" t="str">
        <f>"2170756282"</f>
        <v>2170756282</v>
      </c>
      <c r="F758" s="2" t="s">
        <v>17</v>
      </c>
      <c r="G758" s="2" t="s">
        <v>18</v>
      </c>
      <c r="H758" s="2" t="s">
        <v>19</v>
      </c>
      <c r="I758" s="2" t="s">
        <v>20</v>
      </c>
      <c r="J758" s="2" t="s">
        <v>21</v>
      </c>
      <c r="K758" s="2" t="s">
        <v>698</v>
      </c>
      <c r="L758" s="3">
        <v>0.37291666666666662</v>
      </c>
      <c r="M758" s="2" t="s">
        <v>263</v>
      </c>
      <c r="N758" s="2" t="s">
        <v>500</v>
      </c>
      <c r="O758" s="5"/>
    </row>
    <row r="759" spans="1:15" s="4" customFormat="1" x14ac:dyDescent="0.25">
      <c r="A759" s="2" t="s">
        <v>15</v>
      </c>
      <c r="B759" s="2" t="str">
        <f>"FES1162768357"</f>
        <v>FES1162768357</v>
      </c>
      <c r="C759" s="2" t="s">
        <v>510</v>
      </c>
      <c r="D759" s="2">
        <v>1</v>
      </c>
      <c r="E759" s="2" t="str">
        <f>"2170756245"</f>
        <v>2170756245</v>
      </c>
      <c r="F759" s="2" t="s">
        <v>17</v>
      </c>
      <c r="G759" s="2" t="s">
        <v>18</v>
      </c>
      <c r="H759" s="2" t="s">
        <v>25</v>
      </c>
      <c r="I759" s="2" t="s">
        <v>42</v>
      </c>
      <c r="J759" s="2" t="s">
        <v>416</v>
      </c>
      <c r="K759" s="2" t="s">
        <v>698</v>
      </c>
      <c r="L759" s="3">
        <v>0.54166666666666663</v>
      </c>
      <c r="M759" s="2" t="s">
        <v>517</v>
      </c>
      <c r="N759" s="2" t="s">
        <v>500</v>
      </c>
      <c r="O759" s="5"/>
    </row>
    <row r="760" spans="1:15" s="4" customFormat="1" x14ac:dyDescent="0.25">
      <c r="A760" s="2" t="s">
        <v>15</v>
      </c>
      <c r="B760" s="2" t="str">
        <f>"FES1162768368"</f>
        <v>FES1162768368</v>
      </c>
      <c r="C760" s="2" t="s">
        <v>510</v>
      </c>
      <c r="D760" s="2">
        <v>1</v>
      </c>
      <c r="E760" s="2" t="str">
        <f>"2170756259"</f>
        <v>2170756259</v>
      </c>
      <c r="F760" s="2" t="s">
        <v>17</v>
      </c>
      <c r="G760" s="2" t="s">
        <v>18</v>
      </c>
      <c r="H760" s="2" t="s">
        <v>25</v>
      </c>
      <c r="I760" s="2" t="s">
        <v>26</v>
      </c>
      <c r="J760" s="2" t="s">
        <v>27</v>
      </c>
      <c r="K760" s="2" t="s">
        <v>698</v>
      </c>
      <c r="L760" s="3">
        <v>0.4055555555555555</v>
      </c>
      <c r="M760" s="2" t="s">
        <v>521</v>
      </c>
      <c r="N760" s="2" t="s">
        <v>500</v>
      </c>
      <c r="O760" s="5"/>
    </row>
    <row r="761" spans="1:15" x14ac:dyDescent="0.25">
      <c r="A761" s="2" t="s">
        <v>15</v>
      </c>
      <c r="B761" s="2" t="str">
        <f>"FES1162768358"</f>
        <v>FES1162768358</v>
      </c>
      <c r="C761" s="2" t="s">
        <v>510</v>
      </c>
      <c r="D761" s="2">
        <v>1</v>
      </c>
      <c r="E761" s="2" t="str">
        <f>"2170755659"</f>
        <v>2170755659</v>
      </c>
      <c r="F761" s="2" t="s">
        <v>17</v>
      </c>
      <c r="G761" s="2" t="s">
        <v>18</v>
      </c>
      <c r="H761" s="2" t="s">
        <v>18</v>
      </c>
      <c r="I761" s="2" t="s">
        <v>46</v>
      </c>
      <c r="J761" s="2" t="s">
        <v>139</v>
      </c>
      <c r="K761" s="2" t="s">
        <v>698</v>
      </c>
      <c r="L761" s="3">
        <v>0.30555555555555552</v>
      </c>
      <c r="M761" s="2" t="s">
        <v>838</v>
      </c>
      <c r="N761" s="2" t="s">
        <v>500</v>
      </c>
      <c r="O761" s="2"/>
    </row>
    <row r="762" spans="1:15" s="4" customFormat="1" x14ac:dyDescent="0.25">
      <c r="A762" s="2" t="s">
        <v>15</v>
      </c>
      <c r="B762" s="2" t="str">
        <f>"FES1162768281"</f>
        <v>FES1162768281</v>
      </c>
      <c r="C762" s="2" t="s">
        <v>510</v>
      </c>
      <c r="D762" s="2">
        <v>1</v>
      </c>
      <c r="E762" s="2" t="str">
        <f>"2170753713"</f>
        <v>2170753713</v>
      </c>
      <c r="F762" s="2" t="s">
        <v>17</v>
      </c>
      <c r="G762" s="2" t="s">
        <v>18</v>
      </c>
      <c r="H762" s="2" t="s">
        <v>88</v>
      </c>
      <c r="I762" s="2" t="s">
        <v>109</v>
      </c>
      <c r="J762" s="2" t="s">
        <v>275</v>
      </c>
      <c r="K762" s="2" t="s">
        <v>698</v>
      </c>
      <c r="L762" s="3">
        <v>0.45833333333333331</v>
      </c>
      <c r="M762" s="2" t="s">
        <v>839</v>
      </c>
      <c r="N762" s="2" t="s">
        <v>500</v>
      </c>
      <c r="O762" s="5"/>
    </row>
    <row r="763" spans="1:15" s="4" customFormat="1" x14ac:dyDescent="0.25">
      <c r="A763" s="2" t="s">
        <v>15</v>
      </c>
      <c r="B763" s="2" t="str">
        <f>"FES1162768359"</f>
        <v>FES1162768359</v>
      </c>
      <c r="C763" s="2" t="s">
        <v>510</v>
      </c>
      <c r="D763" s="2">
        <v>1</v>
      </c>
      <c r="E763" s="2" t="str">
        <f>"2170756247"</f>
        <v>2170756247</v>
      </c>
      <c r="F763" s="2" t="s">
        <v>17</v>
      </c>
      <c r="G763" s="2" t="s">
        <v>18</v>
      </c>
      <c r="H763" s="2" t="s">
        <v>18</v>
      </c>
      <c r="I763" s="2" t="s">
        <v>52</v>
      </c>
      <c r="J763" s="2" t="s">
        <v>776</v>
      </c>
      <c r="K763" s="2" t="s">
        <v>698</v>
      </c>
      <c r="L763" s="3">
        <v>0.4236111111111111</v>
      </c>
      <c r="M763" s="2" t="s">
        <v>840</v>
      </c>
      <c r="N763" s="2" t="s">
        <v>500</v>
      </c>
      <c r="O763" s="5"/>
    </row>
    <row r="764" spans="1:15" s="4" customFormat="1" x14ac:dyDescent="0.25">
      <c r="A764" s="2" t="s">
        <v>15</v>
      </c>
      <c r="B764" s="2" t="str">
        <f>"FES1162768384"</f>
        <v>FES1162768384</v>
      </c>
      <c r="C764" s="2" t="s">
        <v>510</v>
      </c>
      <c r="D764" s="2">
        <v>1</v>
      </c>
      <c r="E764" s="2" t="str">
        <f>"2170756275"</f>
        <v>2170756275</v>
      </c>
      <c r="F764" s="2" t="s">
        <v>17</v>
      </c>
      <c r="G764" s="2" t="s">
        <v>18</v>
      </c>
      <c r="H764" s="2" t="s">
        <v>18</v>
      </c>
      <c r="I764" s="2" t="s">
        <v>63</v>
      </c>
      <c r="J764" s="2" t="s">
        <v>93</v>
      </c>
      <c r="K764" s="2" t="s">
        <v>698</v>
      </c>
      <c r="L764" s="3">
        <v>0.38194444444444442</v>
      </c>
      <c r="M764" s="2" t="s">
        <v>210</v>
      </c>
      <c r="N764" s="2" t="s">
        <v>500</v>
      </c>
      <c r="O764" s="5"/>
    </row>
    <row r="765" spans="1:15" s="4" customFormat="1" x14ac:dyDescent="0.25">
      <c r="A765" s="2" t="s">
        <v>15</v>
      </c>
      <c r="B765" s="2" t="str">
        <f>"FES1162768383"</f>
        <v>FES1162768383</v>
      </c>
      <c r="C765" s="2" t="s">
        <v>510</v>
      </c>
      <c r="D765" s="2">
        <v>1</v>
      </c>
      <c r="E765" s="2" t="str">
        <f>"2170756274"</f>
        <v>2170756274</v>
      </c>
      <c r="F765" s="2" t="s">
        <v>17</v>
      </c>
      <c r="G765" s="2" t="s">
        <v>18</v>
      </c>
      <c r="H765" s="2" t="s">
        <v>25</v>
      </c>
      <c r="I765" s="2" t="s">
        <v>345</v>
      </c>
      <c r="J765" s="2" t="s">
        <v>346</v>
      </c>
      <c r="K765" s="2" t="s">
        <v>802</v>
      </c>
      <c r="L765" s="3">
        <v>0.41666666666666669</v>
      </c>
      <c r="M765" s="2" t="s">
        <v>1048</v>
      </c>
      <c r="N765" s="2" t="s">
        <v>500</v>
      </c>
      <c r="O765" s="5"/>
    </row>
    <row r="766" spans="1:15" s="4" customFormat="1" x14ac:dyDescent="0.25">
      <c r="A766" s="2" t="s">
        <v>15</v>
      </c>
      <c r="B766" s="2" t="str">
        <f>"FES1162768390"</f>
        <v>FES1162768390</v>
      </c>
      <c r="C766" s="2" t="s">
        <v>510</v>
      </c>
      <c r="D766" s="2">
        <v>1</v>
      </c>
      <c r="E766" s="2" t="str">
        <f>"2170756291"</f>
        <v>2170756291</v>
      </c>
      <c r="F766" s="2" t="s">
        <v>17</v>
      </c>
      <c r="G766" s="2" t="s">
        <v>18</v>
      </c>
      <c r="H766" s="2" t="s">
        <v>78</v>
      </c>
      <c r="I766" s="2" t="s">
        <v>79</v>
      </c>
      <c r="J766" s="2" t="s">
        <v>80</v>
      </c>
      <c r="K766" s="2" t="s">
        <v>698</v>
      </c>
      <c r="L766" s="3">
        <v>0.37916666666666665</v>
      </c>
      <c r="M766" s="2" t="s">
        <v>806</v>
      </c>
      <c r="N766" s="2" t="s">
        <v>500</v>
      </c>
      <c r="O766" s="5"/>
    </row>
    <row r="767" spans="1:15" s="4" customFormat="1" x14ac:dyDescent="0.25">
      <c r="A767" s="2" t="s">
        <v>15</v>
      </c>
      <c r="B767" s="2" t="str">
        <f>"FES1162768381"</f>
        <v>FES1162768381</v>
      </c>
      <c r="C767" s="2" t="s">
        <v>510</v>
      </c>
      <c r="D767" s="2">
        <v>1</v>
      </c>
      <c r="E767" s="2" t="str">
        <f>"2170756271"</f>
        <v>2170756271</v>
      </c>
      <c r="F767" s="2" t="s">
        <v>17</v>
      </c>
      <c r="G767" s="2" t="s">
        <v>18</v>
      </c>
      <c r="H767" s="2" t="s">
        <v>18</v>
      </c>
      <c r="I767" s="2" t="s">
        <v>63</v>
      </c>
      <c r="J767" s="2" t="s">
        <v>93</v>
      </c>
      <c r="K767" s="2" t="s">
        <v>698</v>
      </c>
      <c r="L767" s="3">
        <v>0.38680555555555557</v>
      </c>
      <c r="M767" s="2" t="s">
        <v>210</v>
      </c>
      <c r="N767" s="2" t="s">
        <v>500</v>
      </c>
      <c r="O767" s="5"/>
    </row>
    <row r="768" spans="1:15" s="4" customFormat="1" x14ac:dyDescent="0.25">
      <c r="A768" s="2" t="s">
        <v>15</v>
      </c>
      <c r="B768" s="2" t="str">
        <f>"FES1162768298"</f>
        <v>FES1162768298</v>
      </c>
      <c r="C768" s="2" t="s">
        <v>510</v>
      </c>
      <c r="D768" s="2">
        <v>1</v>
      </c>
      <c r="E768" s="2" t="str">
        <f>"2170755984"</f>
        <v>2170755984</v>
      </c>
      <c r="F768" s="2" t="s">
        <v>17</v>
      </c>
      <c r="G768" s="2" t="s">
        <v>18</v>
      </c>
      <c r="H768" s="2" t="s">
        <v>18</v>
      </c>
      <c r="I768" s="2" t="s">
        <v>63</v>
      </c>
      <c r="J768" s="2" t="s">
        <v>620</v>
      </c>
      <c r="K768" s="2" t="s">
        <v>698</v>
      </c>
      <c r="L768" s="3">
        <v>0.42777777777777781</v>
      </c>
      <c r="M768" s="2" t="s">
        <v>841</v>
      </c>
      <c r="N768" s="2" t="s">
        <v>500</v>
      </c>
      <c r="O768" s="5"/>
    </row>
    <row r="769" spans="1:15" x14ac:dyDescent="0.25">
      <c r="A769" s="2" t="s">
        <v>15</v>
      </c>
      <c r="B769" s="2" t="str">
        <f>"FES1162768288"</f>
        <v>FES1162768288</v>
      </c>
      <c r="C769" s="2" t="s">
        <v>510</v>
      </c>
      <c r="D769" s="2">
        <v>1</v>
      </c>
      <c r="E769" s="2" t="str">
        <f>"2170755410"</f>
        <v>2170755410</v>
      </c>
      <c r="F769" s="2" t="s">
        <v>17</v>
      </c>
      <c r="G769" s="2" t="s">
        <v>18</v>
      </c>
      <c r="H769" s="2" t="s">
        <v>18</v>
      </c>
      <c r="I769" s="2" t="s">
        <v>46</v>
      </c>
      <c r="J769" s="2" t="s">
        <v>285</v>
      </c>
      <c r="K769" s="2" t="s">
        <v>698</v>
      </c>
      <c r="L769" s="3">
        <v>0.2986111111111111</v>
      </c>
      <c r="M769" s="2" t="s">
        <v>777</v>
      </c>
      <c r="N769" s="2" t="s">
        <v>500</v>
      </c>
      <c r="O769" s="2"/>
    </row>
    <row r="770" spans="1:15" s="4" customFormat="1" x14ac:dyDescent="0.25">
      <c r="A770" s="2" t="s">
        <v>15</v>
      </c>
      <c r="B770" s="2" t="str">
        <f>"FES1162768385"</f>
        <v>FES1162768385</v>
      </c>
      <c r="C770" s="2" t="s">
        <v>510</v>
      </c>
      <c r="D770" s="2">
        <v>1</v>
      </c>
      <c r="E770" s="2" t="str">
        <f>"2170756279"</f>
        <v>2170756279</v>
      </c>
      <c r="F770" s="2" t="s">
        <v>17</v>
      </c>
      <c r="G770" s="2" t="s">
        <v>18</v>
      </c>
      <c r="H770" s="2" t="s">
        <v>18</v>
      </c>
      <c r="I770" s="2" t="s">
        <v>478</v>
      </c>
      <c r="J770" s="2" t="s">
        <v>778</v>
      </c>
      <c r="K770" s="2" t="s">
        <v>698</v>
      </c>
      <c r="L770" s="3">
        <v>0.35069444444444442</v>
      </c>
      <c r="M770" s="2" t="s">
        <v>842</v>
      </c>
      <c r="N770" s="2" t="s">
        <v>500</v>
      </c>
      <c r="O770" s="5"/>
    </row>
    <row r="771" spans="1:15" s="4" customFormat="1" x14ac:dyDescent="0.25">
      <c r="A771" s="2" t="s">
        <v>15</v>
      </c>
      <c r="B771" s="2" t="str">
        <f>"FES1162768380"</f>
        <v>FES1162768380</v>
      </c>
      <c r="C771" s="2" t="s">
        <v>510</v>
      </c>
      <c r="D771" s="2">
        <v>1</v>
      </c>
      <c r="E771" s="2" t="str">
        <f>"2170756270"</f>
        <v>2170756270</v>
      </c>
      <c r="F771" s="2" t="s">
        <v>17</v>
      </c>
      <c r="G771" s="2" t="s">
        <v>18</v>
      </c>
      <c r="H771" s="2" t="s">
        <v>18</v>
      </c>
      <c r="I771" s="2" t="s">
        <v>65</v>
      </c>
      <c r="J771" s="2" t="s">
        <v>770</v>
      </c>
      <c r="K771" s="2" t="s">
        <v>698</v>
      </c>
      <c r="L771" s="3">
        <v>0.34791666666666665</v>
      </c>
      <c r="M771" s="2" t="s">
        <v>843</v>
      </c>
      <c r="N771" s="2" t="s">
        <v>500</v>
      </c>
      <c r="O771" s="5"/>
    </row>
    <row r="772" spans="1:15" s="4" customFormat="1" x14ac:dyDescent="0.25">
      <c r="A772" s="2" t="s">
        <v>15</v>
      </c>
      <c r="B772" s="2" t="str">
        <f>"FES1162768282"</f>
        <v>FES1162768282</v>
      </c>
      <c r="C772" s="2" t="s">
        <v>510</v>
      </c>
      <c r="D772" s="2">
        <v>1</v>
      </c>
      <c r="E772" s="2" t="str">
        <f>"2170754043"</f>
        <v>2170754043</v>
      </c>
      <c r="F772" s="2" t="s">
        <v>17</v>
      </c>
      <c r="G772" s="2" t="s">
        <v>18</v>
      </c>
      <c r="H772" s="2" t="s">
        <v>36</v>
      </c>
      <c r="I772" s="2" t="s">
        <v>37</v>
      </c>
      <c r="J772" s="2" t="s">
        <v>162</v>
      </c>
      <c r="K772" s="2" t="s">
        <v>698</v>
      </c>
      <c r="L772" s="3">
        <v>0.35902777777777778</v>
      </c>
      <c r="M772" s="2" t="s">
        <v>268</v>
      </c>
      <c r="N772" s="2" t="s">
        <v>500</v>
      </c>
      <c r="O772" s="5"/>
    </row>
    <row r="773" spans="1:15" s="4" customFormat="1" x14ac:dyDescent="0.25">
      <c r="A773" s="2" t="s">
        <v>15</v>
      </c>
      <c r="B773" s="2" t="str">
        <f>"FES1162768310"</f>
        <v>FES1162768310</v>
      </c>
      <c r="C773" s="2" t="s">
        <v>510</v>
      </c>
      <c r="D773" s="2">
        <v>1</v>
      </c>
      <c r="E773" s="2" t="str">
        <f>"2170756181"</f>
        <v>2170756181</v>
      </c>
      <c r="F773" s="2" t="s">
        <v>17</v>
      </c>
      <c r="G773" s="2" t="s">
        <v>18</v>
      </c>
      <c r="H773" s="2" t="s">
        <v>36</v>
      </c>
      <c r="I773" s="2" t="s">
        <v>37</v>
      </c>
      <c r="J773" s="2" t="s">
        <v>102</v>
      </c>
      <c r="K773" s="2" t="s">
        <v>698</v>
      </c>
      <c r="L773" s="3">
        <v>0.38958333333333334</v>
      </c>
      <c r="M773" s="2" t="s">
        <v>398</v>
      </c>
      <c r="N773" s="2" t="s">
        <v>500</v>
      </c>
      <c r="O773" s="5"/>
    </row>
    <row r="774" spans="1:15" s="4" customFormat="1" x14ac:dyDescent="0.25">
      <c r="A774" s="2" t="s">
        <v>15</v>
      </c>
      <c r="B774" s="2" t="str">
        <f>"FES1162768372"</f>
        <v>FES1162768372</v>
      </c>
      <c r="C774" s="2" t="s">
        <v>510</v>
      </c>
      <c r="D774" s="2">
        <v>1</v>
      </c>
      <c r="E774" s="2" t="str">
        <f>"2170756264"</f>
        <v>2170756264</v>
      </c>
      <c r="F774" s="2" t="s">
        <v>17</v>
      </c>
      <c r="G774" s="2" t="s">
        <v>18</v>
      </c>
      <c r="H774" s="2" t="s">
        <v>36</v>
      </c>
      <c r="I774" s="2" t="s">
        <v>496</v>
      </c>
      <c r="J774" s="2" t="s">
        <v>497</v>
      </c>
      <c r="K774" s="2" t="s">
        <v>698</v>
      </c>
      <c r="L774" s="3">
        <v>0.63541666666666663</v>
      </c>
      <c r="M774" s="2" t="s">
        <v>726</v>
      </c>
      <c r="N774" s="2" t="s">
        <v>500</v>
      </c>
      <c r="O774" s="5"/>
    </row>
    <row r="775" spans="1:15" s="4" customFormat="1" x14ac:dyDescent="0.25">
      <c r="A775" s="2" t="s">
        <v>15</v>
      </c>
      <c r="B775" s="2" t="str">
        <f>"FES1162768407"</f>
        <v>FES1162768407</v>
      </c>
      <c r="C775" s="2" t="s">
        <v>510</v>
      </c>
      <c r="D775" s="2">
        <v>1</v>
      </c>
      <c r="E775" s="2" t="str">
        <f>"2170756314"</f>
        <v>2170756314</v>
      </c>
      <c r="F775" s="2" t="s">
        <v>17</v>
      </c>
      <c r="G775" s="2" t="s">
        <v>18</v>
      </c>
      <c r="H775" s="2" t="s">
        <v>25</v>
      </c>
      <c r="I775" s="2" t="s">
        <v>26</v>
      </c>
      <c r="J775" s="2" t="s">
        <v>100</v>
      </c>
      <c r="K775" s="2" t="s">
        <v>698</v>
      </c>
      <c r="L775" s="3">
        <v>0.33819444444444446</v>
      </c>
      <c r="M775" s="2" t="s">
        <v>844</v>
      </c>
      <c r="N775" s="2" t="s">
        <v>500</v>
      </c>
      <c r="O775" s="5"/>
    </row>
    <row r="776" spans="1:15" s="4" customFormat="1" x14ac:dyDescent="0.25">
      <c r="A776" s="2" t="s">
        <v>15</v>
      </c>
      <c r="B776" s="2" t="str">
        <f>"FES1162768401"</f>
        <v>FES1162768401</v>
      </c>
      <c r="C776" s="2" t="s">
        <v>510</v>
      </c>
      <c r="D776" s="2">
        <v>1</v>
      </c>
      <c r="E776" s="2" t="str">
        <f>"2170756306"</f>
        <v>2170756306</v>
      </c>
      <c r="F776" s="2" t="s">
        <v>17</v>
      </c>
      <c r="G776" s="2" t="s">
        <v>18</v>
      </c>
      <c r="H776" s="2" t="s">
        <v>19</v>
      </c>
      <c r="I776" s="2" t="s">
        <v>20</v>
      </c>
      <c r="J776" s="2" t="s">
        <v>21</v>
      </c>
      <c r="K776" s="2" t="s">
        <v>698</v>
      </c>
      <c r="L776" s="3">
        <v>0.37291666666666662</v>
      </c>
      <c r="M776" s="2" t="s">
        <v>263</v>
      </c>
      <c r="N776" s="2" t="s">
        <v>500</v>
      </c>
      <c r="O776" s="5"/>
    </row>
    <row r="777" spans="1:15" s="4" customFormat="1" x14ac:dyDescent="0.25">
      <c r="A777" s="2" t="s">
        <v>15</v>
      </c>
      <c r="B777" s="2" t="str">
        <f>"FES1162768307"</f>
        <v>FES1162768307</v>
      </c>
      <c r="C777" s="2" t="s">
        <v>510</v>
      </c>
      <c r="D777" s="2">
        <v>1</v>
      </c>
      <c r="E777" s="2" t="str">
        <f>"2170756177"</f>
        <v>2170756177</v>
      </c>
      <c r="F777" s="2" t="s">
        <v>17</v>
      </c>
      <c r="G777" s="2" t="s">
        <v>18</v>
      </c>
      <c r="H777" s="2" t="s">
        <v>36</v>
      </c>
      <c r="I777" s="2" t="s">
        <v>37</v>
      </c>
      <c r="J777" s="2" t="s">
        <v>102</v>
      </c>
      <c r="K777" s="2" t="s">
        <v>698</v>
      </c>
      <c r="L777" s="3">
        <v>0.38958333333333334</v>
      </c>
      <c r="M777" s="2" t="s">
        <v>398</v>
      </c>
      <c r="N777" s="2" t="s">
        <v>500</v>
      </c>
      <c r="O777" s="5"/>
    </row>
    <row r="778" spans="1:15" s="4" customFormat="1" x14ac:dyDescent="0.25">
      <c r="A778" s="2" t="s">
        <v>15</v>
      </c>
      <c r="B778" s="2" t="str">
        <f>"FES1162768391"</f>
        <v>FES1162768391</v>
      </c>
      <c r="C778" s="2" t="s">
        <v>510</v>
      </c>
      <c r="D778" s="2">
        <v>1</v>
      </c>
      <c r="E778" s="2" t="str">
        <f>"2170756294"</f>
        <v>2170756294</v>
      </c>
      <c r="F778" s="2" t="s">
        <v>17</v>
      </c>
      <c r="G778" s="2" t="s">
        <v>18</v>
      </c>
      <c r="H778" s="2" t="s">
        <v>36</v>
      </c>
      <c r="I778" s="2" t="s">
        <v>37</v>
      </c>
      <c r="J778" s="2" t="s">
        <v>303</v>
      </c>
      <c r="K778" s="2" t="s">
        <v>698</v>
      </c>
      <c r="L778" s="3">
        <v>0.3888888888888889</v>
      </c>
      <c r="M778" s="2" t="s">
        <v>307</v>
      </c>
      <c r="N778" s="2" t="s">
        <v>500</v>
      </c>
      <c r="O778" s="5"/>
    </row>
    <row r="779" spans="1:15" s="4" customFormat="1" x14ac:dyDescent="0.25">
      <c r="A779" s="2" t="s">
        <v>15</v>
      </c>
      <c r="B779" s="2" t="str">
        <f>"FES1162768398"</f>
        <v>FES1162768398</v>
      </c>
      <c r="C779" s="2" t="s">
        <v>510</v>
      </c>
      <c r="D779" s="2">
        <v>1</v>
      </c>
      <c r="E779" s="2" t="str">
        <f>"2170756304"</f>
        <v>2170756304</v>
      </c>
      <c r="F779" s="2" t="s">
        <v>17</v>
      </c>
      <c r="G779" s="2" t="s">
        <v>18</v>
      </c>
      <c r="H779" s="2" t="s">
        <v>19</v>
      </c>
      <c r="I779" s="2" t="s">
        <v>20</v>
      </c>
      <c r="J779" s="2" t="s">
        <v>123</v>
      </c>
      <c r="K779" s="2" t="s">
        <v>698</v>
      </c>
      <c r="L779" s="3">
        <v>0.38819444444444445</v>
      </c>
      <c r="M779" s="2" t="s">
        <v>837</v>
      </c>
      <c r="N779" s="2" t="s">
        <v>500</v>
      </c>
      <c r="O779" s="5"/>
    </row>
    <row r="780" spans="1:15" s="4" customFormat="1" x14ac:dyDescent="0.25">
      <c r="A780" s="2" t="s">
        <v>15</v>
      </c>
      <c r="B780" s="2" t="str">
        <f>"FES1162768292"</f>
        <v>FES1162768292</v>
      </c>
      <c r="C780" s="2" t="s">
        <v>510</v>
      </c>
      <c r="D780" s="2">
        <v>1</v>
      </c>
      <c r="E780" s="2" t="str">
        <f>"2170755804"</f>
        <v>2170755804</v>
      </c>
      <c r="F780" s="2" t="s">
        <v>17</v>
      </c>
      <c r="G780" s="2" t="s">
        <v>18</v>
      </c>
      <c r="H780" s="2" t="s">
        <v>88</v>
      </c>
      <c r="I780" s="2" t="s">
        <v>109</v>
      </c>
      <c r="J780" s="2" t="s">
        <v>779</v>
      </c>
      <c r="K780" s="2" t="s">
        <v>698</v>
      </c>
      <c r="L780" s="3">
        <v>0.42708333333333331</v>
      </c>
      <c r="M780" s="2" t="s">
        <v>845</v>
      </c>
      <c r="N780" s="2" t="s">
        <v>500</v>
      </c>
      <c r="O780" s="5"/>
    </row>
    <row r="781" spans="1:15" s="4" customFormat="1" x14ac:dyDescent="0.25">
      <c r="A781" s="2" t="s">
        <v>15</v>
      </c>
      <c r="B781" s="2" t="str">
        <f>"FES1162768403"</f>
        <v>FES1162768403</v>
      </c>
      <c r="C781" s="2" t="s">
        <v>510</v>
      </c>
      <c r="D781" s="2">
        <v>1</v>
      </c>
      <c r="E781" s="2" t="str">
        <f>"2170756311"</f>
        <v>2170756311</v>
      </c>
      <c r="F781" s="2" t="s">
        <v>17</v>
      </c>
      <c r="G781" s="2" t="s">
        <v>18</v>
      </c>
      <c r="H781" s="2" t="s">
        <v>25</v>
      </c>
      <c r="I781" s="2" t="s">
        <v>125</v>
      </c>
      <c r="J781" s="2" t="s">
        <v>126</v>
      </c>
      <c r="K781" s="2" t="s">
        <v>698</v>
      </c>
      <c r="L781" s="3">
        <v>0.45555555555555555</v>
      </c>
      <c r="M781" s="2" t="s">
        <v>235</v>
      </c>
      <c r="N781" s="2" t="s">
        <v>500</v>
      </c>
      <c r="O781" s="5"/>
    </row>
    <row r="782" spans="1:15" s="4" customFormat="1" x14ac:dyDescent="0.25">
      <c r="A782" s="2" t="s">
        <v>15</v>
      </c>
      <c r="B782" s="2" t="str">
        <f>"FES1162768340"</f>
        <v>FES1162768340</v>
      </c>
      <c r="C782" s="2" t="s">
        <v>510</v>
      </c>
      <c r="D782" s="2">
        <v>1</v>
      </c>
      <c r="E782" s="2" t="str">
        <f>"2170756214"</f>
        <v>2170756214</v>
      </c>
      <c r="F782" s="2" t="s">
        <v>17</v>
      </c>
      <c r="G782" s="2" t="s">
        <v>18</v>
      </c>
      <c r="H782" s="2" t="s">
        <v>36</v>
      </c>
      <c r="I782" s="2" t="s">
        <v>67</v>
      </c>
      <c r="J782" s="2" t="s">
        <v>780</v>
      </c>
      <c r="K782" s="2" t="s">
        <v>698</v>
      </c>
      <c r="L782" s="3">
        <v>0.39999999999999997</v>
      </c>
      <c r="M782" s="2" t="s">
        <v>846</v>
      </c>
      <c r="N782" s="2" t="s">
        <v>500</v>
      </c>
      <c r="O782" s="5"/>
    </row>
    <row r="783" spans="1:15" s="4" customFormat="1" x14ac:dyDescent="0.25">
      <c r="A783" s="2" t="s">
        <v>15</v>
      </c>
      <c r="B783" s="2" t="str">
        <f>"FES1162768303"</f>
        <v>FES1162768303</v>
      </c>
      <c r="C783" s="2" t="s">
        <v>510</v>
      </c>
      <c r="D783" s="2">
        <v>1</v>
      </c>
      <c r="E783" s="2" t="str">
        <f>"2170756172"</f>
        <v>2170756172</v>
      </c>
      <c r="F783" s="2" t="s">
        <v>17</v>
      </c>
      <c r="G783" s="2" t="s">
        <v>18</v>
      </c>
      <c r="H783" s="2" t="s">
        <v>36</v>
      </c>
      <c r="I783" s="2" t="s">
        <v>37</v>
      </c>
      <c r="J783" s="2" t="s">
        <v>102</v>
      </c>
      <c r="K783" s="2" t="s">
        <v>698</v>
      </c>
      <c r="L783" s="3">
        <v>0.43055555555555558</v>
      </c>
      <c r="M783" s="2" t="s">
        <v>398</v>
      </c>
      <c r="N783" s="2" t="s">
        <v>500</v>
      </c>
      <c r="O783" s="5"/>
    </row>
    <row r="784" spans="1:15" s="4" customFormat="1" x14ac:dyDescent="0.25">
      <c r="A784" s="2" t="s">
        <v>15</v>
      </c>
      <c r="B784" s="2" t="str">
        <f>"FES1162768352"</f>
        <v>FES1162768352</v>
      </c>
      <c r="C784" s="2" t="s">
        <v>510</v>
      </c>
      <c r="D784" s="2">
        <v>1</v>
      </c>
      <c r="E784" s="2" t="str">
        <f>"2170756235"</f>
        <v>2170756235</v>
      </c>
      <c r="F784" s="2" t="s">
        <v>17</v>
      </c>
      <c r="G784" s="2" t="s">
        <v>18</v>
      </c>
      <c r="H784" s="2" t="s">
        <v>36</v>
      </c>
      <c r="I784" s="2" t="s">
        <v>37</v>
      </c>
      <c r="J784" s="2" t="s">
        <v>303</v>
      </c>
      <c r="K784" s="2" t="s">
        <v>698</v>
      </c>
      <c r="L784" s="3">
        <v>0.3888888888888889</v>
      </c>
      <c r="M784" s="2" t="s">
        <v>307</v>
      </c>
      <c r="N784" s="2" t="s">
        <v>500</v>
      </c>
      <c r="O784" s="5"/>
    </row>
    <row r="785" spans="1:15" s="4" customFormat="1" x14ac:dyDescent="0.25">
      <c r="A785" s="2" t="s">
        <v>15</v>
      </c>
      <c r="B785" s="2" t="str">
        <f>"FES1162768280"</f>
        <v>FES1162768280</v>
      </c>
      <c r="C785" s="2" t="s">
        <v>510</v>
      </c>
      <c r="D785" s="2">
        <v>1</v>
      </c>
      <c r="E785" s="2" t="str">
        <f>"2170752640"</f>
        <v>2170752640</v>
      </c>
      <c r="F785" s="2" t="s">
        <v>17</v>
      </c>
      <c r="G785" s="2" t="s">
        <v>18</v>
      </c>
      <c r="H785" s="2" t="s">
        <v>36</v>
      </c>
      <c r="I785" s="2" t="s">
        <v>37</v>
      </c>
      <c r="J785" s="2" t="s">
        <v>162</v>
      </c>
      <c r="K785" s="2" t="s">
        <v>698</v>
      </c>
      <c r="L785" s="3">
        <v>0.35902777777777778</v>
      </c>
      <c r="M785" s="2" t="s">
        <v>268</v>
      </c>
      <c r="N785" s="2" t="s">
        <v>500</v>
      </c>
      <c r="O785" s="5"/>
    </row>
    <row r="786" spans="1:15" s="4" customFormat="1" x14ac:dyDescent="0.25">
      <c r="A786" s="2" t="s">
        <v>15</v>
      </c>
      <c r="B786" s="2" t="str">
        <f>"FES1162768389"</f>
        <v>FES1162768389</v>
      </c>
      <c r="C786" s="2" t="s">
        <v>510</v>
      </c>
      <c r="D786" s="2">
        <v>1</v>
      </c>
      <c r="E786" s="2" t="str">
        <f>"2170756288"</f>
        <v>2170756288</v>
      </c>
      <c r="F786" s="2" t="s">
        <v>17</v>
      </c>
      <c r="G786" s="2" t="s">
        <v>18</v>
      </c>
      <c r="H786" s="2" t="s">
        <v>25</v>
      </c>
      <c r="I786" s="2" t="s">
        <v>39</v>
      </c>
      <c r="J786" s="2" t="s">
        <v>40</v>
      </c>
      <c r="K786" s="2" t="s">
        <v>698</v>
      </c>
      <c r="L786" s="3">
        <v>0.5493055555555556</v>
      </c>
      <c r="M786" s="2" t="s">
        <v>928</v>
      </c>
      <c r="N786" s="2" t="s">
        <v>500</v>
      </c>
      <c r="O786" s="5"/>
    </row>
    <row r="787" spans="1:15" s="4" customFormat="1" x14ac:dyDescent="0.25">
      <c r="A787" s="2" t="s">
        <v>15</v>
      </c>
      <c r="B787" s="2" t="str">
        <f>"FES1162768394"</f>
        <v>FES1162768394</v>
      </c>
      <c r="C787" s="2" t="s">
        <v>510</v>
      </c>
      <c r="D787" s="2">
        <v>1</v>
      </c>
      <c r="E787" s="2" t="str">
        <f>"2170756296"</f>
        <v>2170756296</v>
      </c>
      <c r="F787" s="2" t="s">
        <v>17</v>
      </c>
      <c r="G787" s="2" t="s">
        <v>18</v>
      </c>
      <c r="H787" s="2" t="s">
        <v>19</v>
      </c>
      <c r="I787" s="2" t="s">
        <v>20</v>
      </c>
      <c r="J787" s="2" t="s">
        <v>21</v>
      </c>
      <c r="K787" s="2" t="s">
        <v>698</v>
      </c>
      <c r="L787" s="3">
        <v>0.37291666666666662</v>
      </c>
      <c r="M787" s="2" t="s">
        <v>263</v>
      </c>
      <c r="N787" s="2" t="s">
        <v>500</v>
      </c>
      <c r="O787" s="5"/>
    </row>
    <row r="788" spans="1:15" s="4" customFormat="1" x14ac:dyDescent="0.25">
      <c r="A788" s="2" t="s">
        <v>15</v>
      </c>
      <c r="B788" s="2" t="str">
        <f>"FES1162768388"</f>
        <v>FES1162768388</v>
      </c>
      <c r="C788" s="2" t="s">
        <v>510</v>
      </c>
      <c r="D788" s="2">
        <v>1</v>
      </c>
      <c r="E788" s="2" t="str">
        <f>"2170756286"</f>
        <v>2170756286</v>
      </c>
      <c r="F788" s="2" t="s">
        <v>17</v>
      </c>
      <c r="G788" s="2" t="s">
        <v>18</v>
      </c>
      <c r="H788" s="2" t="s">
        <v>19</v>
      </c>
      <c r="I788" s="2" t="s">
        <v>20</v>
      </c>
      <c r="J788" s="2" t="s">
        <v>21</v>
      </c>
      <c r="K788" s="2" t="s">
        <v>698</v>
      </c>
      <c r="L788" s="3">
        <v>0.37291666666666662</v>
      </c>
      <c r="M788" s="2" t="s">
        <v>263</v>
      </c>
      <c r="N788" s="2" t="s">
        <v>500</v>
      </c>
      <c r="O788" s="5"/>
    </row>
    <row r="789" spans="1:15" s="4" customFormat="1" x14ac:dyDescent="0.25">
      <c r="A789" s="2" t="s">
        <v>15</v>
      </c>
      <c r="B789" s="2" t="str">
        <f>"FES1162768408"</f>
        <v>FES1162768408</v>
      </c>
      <c r="C789" s="2" t="s">
        <v>510</v>
      </c>
      <c r="D789" s="2">
        <v>1</v>
      </c>
      <c r="E789" s="2" t="str">
        <f>"2170756316"</f>
        <v>2170756316</v>
      </c>
      <c r="F789" s="2" t="s">
        <v>17</v>
      </c>
      <c r="G789" s="2" t="s">
        <v>18</v>
      </c>
      <c r="H789" s="2" t="s">
        <v>25</v>
      </c>
      <c r="I789" s="2" t="s">
        <v>26</v>
      </c>
      <c r="J789" s="2" t="s">
        <v>622</v>
      </c>
      <c r="K789" s="2" t="s">
        <v>698</v>
      </c>
      <c r="L789" s="3">
        <v>0.36180555555555555</v>
      </c>
      <c r="M789" s="2" t="s">
        <v>690</v>
      </c>
      <c r="N789" s="2" t="s">
        <v>500</v>
      </c>
      <c r="O789" s="5"/>
    </row>
    <row r="790" spans="1:15" s="4" customFormat="1" x14ac:dyDescent="0.25">
      <c r="A790" s="2" t="s">
        <v>15</v>
      </c>
      <c r="B790" s="2" t="str">
        <f>"FES1162768308"</f>
        <v>FES1162768308</v>
      </c>
      <c r="C790" s="2" t="s">
        <v>510</v>
      </c>
      <c r="D790" s="2">
        <v>1</v>
      </c>
      <c r="E790" s="2" t="str">
        <f>"2170756178"</f>
        <v>2170756178</v>
      </c>
      <c r="F790" s="2" t="s">
        <v>17</v>
      </c>
      <c r="G790" s="2" t="s">
        <v>18</v>
      </c>
      <c r="H790" s="2" t="s">
        <v>36</v>
      </c>
      <c r="I790" s="2" t="s">
        <v>37</v>
      </c>
      <c r="J790" s="2" t="s">
        <v>102</v>
      </c>
      <c r="K790" s="2" t="s">
        <v>698</v>
      </c>
      <c r="L790" s="3">
        <v>0.38958333333333334</v>
      </c>
      <c r="M790" s="2" t="s">
        <v>398</v>
      </c>
      <c r="N790" s="2" t="s">
        <v>500</v>
      </c>
      <c r="O790" s="5"/>
    </row>
    <row r="791" spans="1:15" s="4" customFormat="1" x14ac:dyDescent="0.25">
      <c r="A791" s="2" t="s">
        <v>15</v>
      </c>
      <c r="B791" s="2" t="str">
        <f>"FES1162768396"</f>
        <v>FES1162768396</v>
      </c>
      <c r="C791" s="2" t="s">
        <v>510</v>
      </c>
      <c r="D791" s="2">
        <v>1</v>
      </c>
      <c r="E791" s="2" t="str">
        <f>"2170756300"</f>
        <v>2170756300</v>
      </c>
      <c r="F791" s="2" t="s">
        <v>17</v>
      </c>
      <c r="G791" s="2" t="s">
        <v>18</v>
      </c>
      <c r="H791" s="2" t="s">
        <v>36</v>
      </c>
      <c r="I791" s="2" t="s">
        <v>134</v>
      </c>
      <c r="J791" s="2" t="s">
        <v>135</v>
      </c>
      <c r="K791" s="2" t="s">
        <v>698</v>
      </c>
      <c r="L791" s="3">
        <v>0.50694444444444442</v>
      </c>
      <c r="M791" s="2" t="s">
        <v>835</v>
      </c>
      <c r="N791" s="2" t="s">
        <v>500</v>
      </c>
      <c r="O791" s="5"/>
    </row>
    <row r="792" spans="1:15" s="4" customFormat="1" x14ac:dyDescent="0.25">
      <c r="A792" s="2" t="s">
        <v>15</v>
      </c>
      <c r="B792" s="2" t="str">
        <f>"FES1162768404"</f>
        <v>FES1162768404</v>
      </c>
      <c r="C792" s="2" t="s">
        <v>510</v>
      </c>
      <c r="D792" s="2">
        <v>1</v>
      </c>
      <c r="E792" s="2" t="str">
        <f>"2170756308"</f>
        <v>2170756308</v>
      </c>
      <c r="F792" s="2" t="s">
        <v>17</v>
      </c>
      <c r="G792" s="2" t="s">
        <v>18</v>
      </c>
      <c r="H792" s="2" t="s">
        <v>18</v>
      </c>
      <c r="I792" s="2" t="s">
        <v>82</v>
      </c>
      <c r="J792" s="2" t="s">
        <v>83</v>
      </c>
      <c r="K792" s="2" t="s">
        <v>698</v>
      </c>
      <c r="L792" s="3">
        <v>0.34375</v>
      </c>
      <c r="M792" s="2" t="s">
        <v>847</v>
      </c>
      <c r="N792" s="2" t="s">
        <v>500</v>
      </c>
      <c r="O792" s="5"/>
    </row>
    <row r="793" spans="1:15" s="4" customFormat="1" x14ac:dyDescent="0.25">
      <c r="A793" s="2" t="s">
        <v>15</v>
      </c>
      <c r="B793" s="2" t="str">
        <f>"FES1162768416"</f>
        <v>FES1162768416</v>
      </c>
      <c r="C793" s="2" t="s">
        <v>510</v>
      </c>
      <c r="D793" s="2">
        <v>1</v>
      </c>
      <c r="E793" s="2" t="str">
        <f>"2170756329"</f>
        <v>2170756329</v>
      </c>
      <c r="F793" s="2" t="s">
        <v>17</v>
      </c>
      <c r="G793" s="2" t="s">
        <v>18</v>
      </c>
      <c r="H793" s="2" t="s">
        <v>18</v>
      </c>
      <c r="I793" s="2" t="s">
        <v>116</v>
      </c>
      <c r="J793" s="2" t="s">
        <v>781</v>
      </c>
      <c r="K793" s="2" t="s">
        <v>698</v>
      </c>
      <c r="L793" s="3">
        <v>0.35416666666666669</v>
      </c>
      <c r="M793" s="2" t="s">
        <v>848</v>
      </c>
      <c r="N793" s="2" t="s">
        <v>500</v>
      </c>
      <c r="O793" s="5"/>
    </row>
    <row r="794" spans="1:15" s="4" customFormat="1" x14ac:dyDescent="0.25">
      <c r="A794" s="2" t="s">
        <v>15</v>
      </c>
      <c r="B794" s="2" t="str">
        <f>"FES1162768412"</f>
        <v>FES1162768412</v>
      </c>
      <c r="C794" s="2" t="s">
        <v>510</v>
      </c>
      <c r="D794" s="2">
        <v>1</v>
      </c>
      <c r="E794" s="2" t="str">
        <f>"2170756321"</f>
        <v>2170756321</v>
      </c>
      <c r="F794" s="2" t="s">
        <v>17</v>
      </c>
      <c r="G794" s="2" t="s">
        <v>18</v>
      </c>
      <c r="H794" s="2" t="s">
        <v>19</v>
      </c>
      <c r="I794" s="2" t="s">
        <v>20</v>
      </c>
      <c r="J794" s="2" t="s">
        <v>767</v>
      </c>
      <c r="K794" s="2" t="s">
        <v>698</v>
      </c>
      <c r="L794" s="3">
        <v>0.31458333333333333</v>
      </c>
      <c r="M794" s="2" t="s">
        <v>826</v>
      </c>
      <c r="N794" s="2" t="s">
        <v>500</v>
      </c>
      <c r="O794" s="5"/>
    </row>
    <row r="795" spans="1:15" s="4" customFormat="1" x14ac:dyDescent="0.25">
      <c r="A795" s="2" t="s">
        <v>15</v>
      </c>
      <c r="B795" s="2" t="str">
        <f>"FES1162768393"</f>
        <v>FES1162768393</v>
      </c>
      <c r="C795" s="2" t="s">
        <v>510</v>
      </c>
      <c r="D795" s="2">
        <v>1</v>
      </c>
      <c r="E795" s="2" t="str">
        <f>"2170756295"</f>
        <v>2170756295</v>
      </c>
      <c r="F795" s="2" t="s">
        <v>17</v>
      </c>
      <c r="G795" s="2" t="s">
        <v>18</v>
      </c>
      <c r="H795" s="2" t="s">
        <v>18</v>
      </c>
      <c r="I795" s="2" t="s">
        <v>63</v>
      </c>
      <c r="J795" s="2" t="s">
        <v>645</v>
      </c>
      <c r="K795" s="2" t="s">
        <v>698</v>
      </c>
      <c r="L795" s="3">
        <v>0.36944444444444446</v>
      </c>
      <c r="M795" s="2" t="s">
        <v>809</v>
      </c>
      <c r="N795" s="2" t="s">
        <v>500</v>
      </c>
      <c r="O795" s="5"/>
    </row>
    <row r="796" spans="1:15" s="4" customFormat="1" x14ac:dyDescent="0.25">
      <c r="A796" s="2" t="s">
        <v>15</v>
      </c>
      <c r="B796" s="2" t="str">
        <f>"FES1162768414"</f>
        <v>FES1162768414</v>
      </c>
      <c r="C796" s="2" t="s">
        <v>510</v>
      </c>
      <c r="D796" s="2">
        <v>1</v>
      </c>
      <c r="E796" s="2" t="str">
        <f>"2170756327"</f>
        <v>2170756327</v>
      </c>
      <c r="F796" s="2" t="s">
        <v>17</v>
      </c>
      <c r="G796" s="2" t="s">
        <v>18</v>
      </c>
      <c r="H796" s="2" t="s">
        <v>25</v>
      </c>
      <c r="I796" s="2" t="s">
        <v>345</v>
      </c>
      <c r="J796" s="2" t="s">
        <v>346</v>
      </c>
      <c r="K796" s="2" t="s">
        <v>802</v>
      </c>
      <c r="L796" s="3">
        <v>0.41666666666666669</v>
      </c>
      <c r="M796" s="2" t="s">
        <v>1048</v>
      </c>
      <c r="N796" s="2" t="s">
        <v>500</v>
      </c>
      <c r="O796" s="5"/>
    </row>
    <row r="797" spans="1:15" s="4" customFormat="1" x14ac:dyDescent="0.25">
      <c r="A797" s="2" t="s">
        <v>15</v>
      </c>
      <c r="B797" s="2" t="str">
        <f>"FES1162768405"</f>
        <v>FES1162768405</v>
      </c>
      <c r="C797" s="2" t="s">
        <v>510</v>
      </c>
      <c r="D797" s="2">
        <v>1</v>
      </c>
      <c r="E797" s="2" t="str">
        <f>"2170756312"</f>
        <v>2170756312</v>
      </c>
      <c r="F797" s="2" t="s">
        <v>17</v>
      </c>
      <c r="G797" s="2" t="s">
        <v>18</v>
      </c>
      <c r="H797" s="2" t="s">
        <v>18</v>
      </c>
      <c r="I797" s="2" t="s">
        <v>57</v>
      </c>
      <c r="J797" s="2" t="s">
        <v>92</v>
      </c>
      <c r="K797" s="2" t="s">
        <v>802</v>
      </c>
      <c r="L797" s="3">
        <v>0.29583333333333334</v>
      </c>
      <c r="M797" s="2" t="s">
        <v>693</v>
      </c>
      <c r="N797" s="2" t="s">
        <v>500</v>
      </c>
      <c r="O797" s="5"/>
    </row>
    <row r="798" spans="1:15" s="4" customFormat="1" x14ac:dyDescent="0.25">
      <c r="A798" s="2" t="s">
        <v>15</v>
      </c>
      <c r="B798" s="2" t="str">
        <f>"FES1162768406"</f>
        <v>FES1162768406</v>
      </c>
      <c r="C798" s="2" t="s">
        <v>510</v>
      </c>
      <c r="D798" s="2">
        <v>1</v>
      </c>
      <c r="E798" s="2" t="str">
        <f>"2170756313"</f>
        <v>2170756313</v>
      </c>
      <c r="F798" s="2" t="s">
        <v>17</v>
      </c>
      <c r="G798" s="2" t="s">
        <v>18</v>
      </c>
      <c r="H798" s="2" t="s">
        <v>19</v>
      </c>
      <c r="I798" s="2" t="s">
        <v>20</v>
      </c>
      <c r="J798" s="2" t="s">
        <v>606</v>
      </c>
      <c r="K798" s="2" t="s">
        <v>698</v>
      </c>
      <c r="L798" s="3">
        <v>0.48749999999999999</v>
      </c>
      <c r="M798" s="2" t="s">
        <v>849</v>
      </c>
      <c r="N798" s="2" t="s">
        <v>500</v>
      </c>
      <c r="O798" s="5"/>
    </row>
    <row r="799" spans="1:15" x14ac:dyDescent="0.25">
      <c r="A799" s="2" t="s">
        <v>15</v>
      </c>
      <c r="B799" s="2" t="str">
        <f>"FES1162768399"</f>
        <v>FES1162768399</v>
      </c>
      <c r="C799" s="2" t="s">
        <v>510</v>
      </c>
      <c r="D799" s="2">
        <v>1</v>
      </c>
      <c r="E799" s="2" t="str">
        <f>"2170756299"</f>
        <v>2170756299</v>
      </c>
      <c r="F799" s="2" t="s">
        <v>17</v>
      </c>
      <c r="G799" s="2" t="s">
        <v>18</v>
      </c>
      <c r="H799" s="2" t="s">
        <v>19</v>
      </c>
      <c r="I799" s="2" t="s">
        <v>111</v>
      </c>
      <c r="J799" s="2" t="s">
        <v>143</v>
      </c>
      <c r="K799" s="2" t="s">
        <v>698</v>
      </c>
      <c r="L799" s="3">
        <v>0.3</v>
      </c>
      <c r="M799" s="2" t="s">
        <v>143</v>
      </c>
      <c r="N799" s="2" t="s">
        <v>500</v>
      </c>
      <c r="O799" s="2"/>
    </row>
    <row r="800" spans="1:15" s="4" customFormat="1" x14ac:dyDescent="0.25">
      <c r="A800" s="2" t="s">
        <v>15</v>
      </c>
      <c r="B800" s="2" t="str">
        <f>"FES1162768426"</f>
        <v>FES1162768426</v>
      </c>
      <c r="C800" s="2" t="s">
        <v>510</v>
      </c>
      <c r="D800" s="2">
        <v>1</v>
      </c>
      <c r="E800" s="2" t="str">
        <f>"2170756349"</f>
        <v>2170756349</v>
      </c>
      <c r="F800" s="2" t="s">
        <v>17</v>
      </c>
      <c r="G800" s="2" t="s">
        <v>18</v>
      </c>
      <c r="H800" s="2" t="s">
        <v>36</v>
      </c>
      <c r="I800" s="2" t="s">
        <v>37</v>
      </c>
      <c r="J800" s="2" t="s">
        <v>782</v>
      </c>
      <c r="K800" s="2" t="s">
        <v>698</v>
      </c>
      <c r="L800" s="3">
        <v>0.35902777777777778</v>
      </c>
      <c r="M800" s="2" t="s">
        <v>268</v>
      </c>
      <c r="N800" s="2" t="s">
        <v>500</v>
      </c>
      <c r="O800" s="5"/>
    </row>
    <row r="801" spans="1:15" s="4" customFormat="1" x14ac:dyDescent="0.25">
      <c r="A801" s="2" t="s">
        <v>15</v>
      </c>
      <c r="B801" s="2" t="str">
        <f>"FES1162768413"</f>
        <v>FES1162768413</v>
      </c>
      <c r="C801" s="2" t="s">
        <v>510</v>
      </c>
      <c r="D801" s="2">
        <v>1</v>
      </c>
      <c r="E801" s="2" t="str">
        <f>"2170756325"</f>
        <v>2170756325</v>
      </c>
      <c r="F801" s="2" t="s">
        <v>17</v>
      </c>
      <c r="G801" s="2" t="s">
        <v>18</v>
      </c>
      <c r="H801" s="2" t="s">
        <v>33</v>
      </c>
      <c r="I801" s="2" t="s">
        <v>34</v>
      </c>
      <c r="J801" s="2" t="s">
        <v>783</v>
      </c>
      <c r="K801" s="2" t="s">
        <v>802</v>
      </c>
      <c r="L801" s="3">
        <v>0.40069444444444446</v>
      </c>
      <c r="M801" s="2" t="s">
        <v>929</v>
      </c>
      <c r="N801" s="2" t="s">
        <v>500</v>
      </c>
      <c r="O801" s="5"/>
    </row>
    <row r="802" spans="1:15" s="4" customFormat="1" x14ac:dyDescent="0.25">
      <c r="A802" s="2" t="s">
        <v>15</v>
      </c>
      <c r="B802" s="2" t="str">
        <f>"FES1162768423"</f>
        <v>FES1162768423</v>
      </c>
      <c r="C802" s="2" t="s">
        <v>510</v>
      </c>
      <c r="D802" s="2">
        <v>1</v>
      </c>
      <c r="E802" s="2" t="str">
        <f>"2170756344"</f>
        <v>2170756344</v>
      </c>
      <c r="F802" s="2" t="s">
        <v>17</v>
      </c>
      <c r="G802" s="2" t="s">
        <v>18</v>
      </c>
      <c r="H802" s="2" t="s">
        <v>25</v>
      </c>
      <c r="I802" s="2" t="s">
        <v>39</v>
      </c>
      <c r="J802" s="2" t="s">
        <v>40</v>
      </c>
      <c r="K802" s="2" t="s">
        <v>698</v>
      </c>
      <c r="L802" s="3">
        <v>0.5493055555555556</v>
      </c>
      <c r="M802" s="2" t="s">
        <v>928</v>
      </c>
      <c r="N802" s="2" t="s">
        <v>500</v>
      </c>
      <c r="O802" s="5"/>
    </row>
    <row r="803" spans="1:15" s="4" customFormat="1" x14ac:dyDescent="0.25">
      <c r="A803" s="2" t="s">
        <v>15</v>
      </c>
      <c r="B803" s="2" t="str">
        <f>"FES1162768376"</f>
        <v>FES1162768376</v>
      </c>
      <c r="C803" s="2" t="s">
        <v>510</v>
      </c>
      <c r="D803" s="2">
        <v>1</v>
      </c>
      <c r="E803" s="2" t="str">
        <f>"2170752806"</f>
        <v>2170752806</v>
      </c>
      <c r="F803" s="2" t="s">
        <v>17</v>
      </c>
      <c r="G803" s="2" t="s">
        <v>18</v>
      </c>
      <c r="H803" s="2" t="s">
        <v>36</v>
      </c>
      <c r="I803" s="2" t="s">
        <v>37</v>
      </c>
      <c r="J803" s="2" t="s">
        <v>784</v>
      </c>
      <c r="K803" s="2" t="s">
        <v>698</v>
      </c>
      <c r="L803" s="3">
        <v>0.4236111111111111</v>
      </c>
      <c r="M803" s="2" t="s">
        <v>850</v>
      </c>
      <c r="N803" s="2" t="s">
        <v>500</v>
      </c>
      <c r="O803" s="5"/>
    </row>
    <row r="804" spans="1:15" s="4" customFormat="1" x14ac:dyDescent="0.25">
      <c r="A804" s="2" t="s">
        <v>15</v>
      </c>
      <c r="B804" s="2" t="str">
        <f>"FES1162768320"</f>
        <v>FES1162768320</v>
      </c>
      <c r="C804" s="2" t="s">
        <v>510</v>
      </c>
      <c r="D804" s="2">
        <v>1</v>
      </c>
      <c r="E804" s="2" t="str">
        <f>"2170756196"</f>
        <v>2170756196</v>
      </c>
      <c r="F804" s="2" t="s">
        <v>17</v>
      </c>
      <c r="G804" s="2" t="s">
        <v>18</v>
      </c>
      <c r="H804" s="2" t="s">
        <v>36</v>
      </c>
      <c r="I804" s="2" t="s">
        <v>37</v>
      </c>
      <c r="J804" s="2" t="s">
        <v>55</v>
      </c>
      <c r="K804" s="2" t="s">
        <v>698</v>
      </c>
      <c r="L804" s="3">
        <v>0.3888888888888889</v>
      </c>
      <c r="M804" s="2" t="s">
        <v>836</v>
      </c>
      <c r="N804" s="2" t="s">
        <v>500</v>
      </c>
      <c r="O804" s="5"/>
    </row>
    <row r="805" spans="1:15" s="4" customFormat="1" x14ac:dyDescent="0.25">
      <c r="A805" s="2" t="s">
        <v>15</v>
      </c>
      <c r="B805" s="2" t="str">
        <f>"FES1162768434"</f>
        <v>FES1162768434</v>
      </c>
      <c r="C805" s="2" t="s">
        <v>510</v>
      </c>
      <c r="D805" s="2">
        <v>1</v>
      </c>
      <c r="E805" s="2" t="str">
        <f>"2170756354"</f>
        <v>2170756354</v>
      </c>
      <c r="F805" s="2" t="s">
        <v>17</v>
      </c>
      <c r="G805" s="2" t="s">
        <v>18</v>
      </c>
      <c r="H805" s="2" t="s">
        <v>33</v>
      </c>
      <c r="I805" s="2" t="s">
        <v>34</v>
      </c>
      <c r="J805" s="2" t="s">
        <v>400</v>
      </c>
      <c r="K805" s="2" t="s">
        <v>698</v>
      </c>
      <c r="L805" s="3">
        <v>0.54236111111111118</v>
      </c>
      <c r="M805" s="2" t="s">
        <v>401</v>
      </c>
      <c r="N805" s="2" t="s">
        <v>500</v>
      </c>
      <c r="O805" s="5"/>
    </row>
    <row r="806" spans="1:15" s="4" customFormat="1" x14ac:dyDescent="0.25">
      <c r="A806" s="2" t="s">
        <v>15</v>
      </c>
      <c r="B806" s="2" t="str">
        <f>"FES1162768435"</f>
        <v>FES1162768435</v>
      </c>
      <c r="C806" s="2" t="s">
        <v>510</v>
      </c>
      <c r="D806" s="2">
        <v>1</v>
      </c>
      <c r="E806" s="2" t="str">
        <f>"2170756355"</f>
        <v>2170756355</v>
      </c>
      <c r="F806" s="2" t="s">
        <v>17</v>
      </c>
      <c r="G806" s="2" t="s">
        <v>18</v>
      </c>
      <c r="H806" s="2" t="s">
        <v>25</v>
      </c>
      <c r="I806" s="2" t="s">
        <v>26</v>
      </c>
      <c r="J806" s="2" t="s">
        <v>762</v>
      </c>
      <c r="K806" s="2" t="s">
        <v>698</v>
      </c>
      <c r="L806" s="3">
        <v>0.42499999999999999</v>
      </c>
      <c r="M806" s="2" t="s">
        <v>819</v>
      </c>
      <c r="N806" s="2" t="s">
        <v>500</v>
      </c>
      <c r="O806" s="5"/>
    </row>
    <row r="807" spans="1:15" s="4" customFormat="1" x14ac:dyDescent="0.25">
      <c r="A807" s="2" t="s">
        <v>15</v>
      </c>
      <c r="B807" s="2" t="str">
        <f>"FES1162768443"</f>
        <v>FES1162768443</v>
      </c>
      <c r="C807" s="2" t="s">
        <v>510</v>
      </c>
      <c r="D807" s="2">
        <v>1</v>
      </c>
      <c r="E807" s="2" t="str">
        <f>"2170756364"</f>
        <v>2170756364</v>
      </c>
      <c r="F807" s="2" t="s">
        <v>17</v>
      </c>
      <c r="G807" s="2" t="s">
        <v>18</v>
      </c>
      <c r="H807" s="2" t="s">
        <v>25</v>
      </c>
      <c r="I807" s="2" t="s">
        <v>26</v>
      </c>
      <c r="J807" s="2" t="s">
        <v>28</v>
      </c>
      <c r="K807" s="2" t="s">
        <v>698</v>
      </c>
      <c r="L807" s="3">
        <v>0.42291666666666666</v>
      </c>
      <c r="M807" s="2" t="s">
        <v>172</v>
      </c>
      <c r="N807" s="2" t="s">
        <v>500</v>
      </c>
      <c r="O807" s="5"/>
    </row>
    <row r="808" spans="1:15" s="4" customFormat="1" x14ac:dyDescent="0.25">
      <c r="A808" s="2" t="s">
        <v>15</v>
      </c>
      <c r="B808" s="2" t="str">
        <f>"FES1162768437"</f>
        <v>FES1162768437</v>
      </c>
      <c r="C808" s="2" t="s">
        <v>510</v>
      </c>
      <c r="D808" s="2">
        <v>1</v>
      </c>
      <c r="E808" s="2" t="str">
        <f>"2170756358"</f>
        <v>2170756358</v>
      </c>
      <c r="F808" s="2" t="s">
        <v>17</v>
      </c>
      <c r="G808" s="2" t="s">
        <v>18</v>
      </c>
      <c r="H808" s="2" t="s">
        <v>25</v>
      </c>
      <c r="I808" s="2" t="s">
        <v>39</v>
      </c>
      <c r="J808" s="2" t="s">
        <v>161</v>
      </c>
      <c r="K808" s="2" t="s">
        <v>698</v>
      </c>
      <c r="L808" s="3">
        <v>0.59305555555555556</v>
      </c>
      <c r="M808" s="2" t="s">
        <v>563</v>
      </c>
      <c r="N808" s="2" t="s">
        <v>500</v>
      </c>
      <c r="O808" s="5"/>
    </row>
    <row r="809" spans="1:15" s="4" customFormat="1" x14ac:dyDescent="0.25">
      <c r="A809" s="2" t="s">
        <v>15</v>
      </c>
      <c r="B809" s="2" t="str">
        <f>"FES1162768441"</f>
        <v>FES1162768441</v>
      </c>
      <c r="C809" s="2" t="s">
        <v>510</v>
      </c>
      <c r="D809" s="2">
        <v>1</v>
      </c>
      <c r="E809" s="2" t="str">
        <f>"2170756362"</f>
        <v>2170756362</v>
      </c>
      <c r="F809" s="2" t="s">
        <v>17</v>
      </c>
      <c r="G809" s="2" t="s">
        <v>18</v>
      </c>
      <c r="H809" s="2" t="s">
        <v>25</v>
      </c>
      <c r="I809" s="2" t="s">
        <v>26</v>
      </c>
      <c r="J809" s="2" t="s">
        <v>785</v>
      </c>
      <c r="K809" s="2" t="s">
        <v>698</v>
      </c>
      <c r="L809" s="3">
        <v>0.40625</v>
      </c>
      <c r="M809" s="2" t="s">
        <v>851</v>
      </c>
      <c r="N809" s="2" t="s">
        <v>500</v>
      </c>
      <c r="O809" s="5"/>
    </row>
    <row r="810" spans="1:15" s="4" customFormat="1" x14ac:dyDescent="0.25">
      <c r="A810" s="2" t="s">
        <v>15</v>
      </c>
      <c r="B810" s="2" t="str">
        <f>"FES1162768439"</f>
        <v>FES1162768439</v>
      </c>
      <c r="C810" s="2" t="s">
        <v>510</v>
      </c>
      <c r="D810" s="2">
        <v>1</v>
      </c>
      <c r="E810" s="2" t="str">
        <f>"2170756360"</f>
        <v>2170756360</v>
      </c>
      <c r="F810" s="2" t="s">
        <v>17</v>
      </c>
      <c r="G810" s="2" t="s">
        <v>18</v>
      </c>
      <c r="H810" s="2" t="s">
        <v>25</v>
      </c>
      <c r="I810" s="2" t="s">
        <v>125</v>
      </c>
      <c r="J810" s="2" t="s">
        <v>126</v>
      </c>
      <c r="K810" s="2" t="s">
        <v>698</v>
      </c>
      <c r="L810" s="3">
        <v>0.45555555555555555</v>
      </c>
      <c r="M810" s="2" t="s">
        <v>235</v>
      </c>
      <c r="N810" s="2" t="s">
        <v>500</v>
      </c>
      <c r="O810" s="5"/>
    </row>
    <row r="811" spans="1:15" s="4" customFormat="1" x14ac:dyDescent="0.25">
      <c r="A811" s="2" t="s">
        <v>15</v>
      </c>
      <c r="B811" s="2" t="str">
        <f>"FES1162768436"</f>
        <v>FES1162768436</v>
      </c>
      <c r="C811" s="2" t="s">
        <v>510</v>
      </c>
      <c r="D811" s="2">
        <v>1</v>
      </c>
      <c r="E811" s="2" t="str">
        <f>"2170756357"</f>
        <v>2170756357</v>
      </c>
      <c r="F811" s="2" t="s">
        <v>17</v>
      </c>
      <c r="G811" s="2" t="s">
        <v>18</v>
      </c>
      <c r="H811" s="2" t="s">
        <v>25</v>
      </c>
      <c r="I811" s="2" t="s">
        <v>26</v>
      </c>
      <c r="J811" s="2" t="s">
        <v>70</v>
      </c>
      <c r="K811" s="2" t="s">
        <v>698</v>
      </c>
      <c r="L811" s="3">
        <v>0.52638888888888891</v>
      </c>
      <c r="M811" s="2" t="s">
        <v>852</v>
      </c>
      <c r="N811" s="2" t="s">
        <v>500</v>
      </c>
      <c r="O811" s="5"/>
    </row>
    <row r="812" spans="1:15" s="4" customFormat="1" x14ac:dyDescent="0.25">
      <c r="A812" s="2" t="s">
        <v>15</v>
      </c>
      <c r="B812" s="2" t="str">
        <f>"FES1162768448"</f>
        <v>FES1162768448</v>
      </c>
      <c r="C812" s="2" t="s">
        <v>510</v>
      </c>
      <c r="D812" s="2">
        <v>1</v>
      </c>
      <c r="E812" s="2" t="str">
        <f>"2170755152"</f>
        <v>2170755152</v>
      </c>
      <c r="F812" s="2" t="s">
        <v>17</v>
      </c>
      <c r="G812" s="2" t="s">
        <v>18</v>
      </c>
      <c r="H812" s="2" t="s">
        <v>33</v>
      </c>
      <c r="I812" s="2" t="s">
        <v>34</v>
      </c>
      <c r="J812" s="2" t="s">
        <v>400</v>
      </c>
      <c r="K812" s="2" t="s">
        <v>698</v>
      </c>
      <c r="L812" s="3">
        <v>0.43333333333333335</v>
      </c>
      <c r="M812" s="2" t="s">
        <v>401</v>
      </c>
      <c r="N812" s="2" t="s">
        <v>500</v>
      </c>
      <c r="O812" s="5"/>
    </row>
    <row r="813" spans="1:15" s="4" customFormat="1" x14ac:dyDescent="0.25">
      <c r="A813" s="2" t="s">
        <v>15</v>
      </c>
      <c r="B813" s="2" t="str">
        <f>"FES1162768450"</f>
        <v>FES1162768450</v>
      </c>
      <c r="C813" s="2" t="s">
        <v>510</v>
      </c>
      <c r="D813" s="2">
        <v>1</v>
      </c>
      <c r="E813" s="2" t="str">
        <f>"2170755893"</f>
        <v>2170755893</v>
      </c>
      <c r="F813" s="2" t="s">
        <v>17</v>
      </c>
      <c r="G813" s="2" t="s">
        <v>18</v>
      </c>
      <c r="H813" s="2" t="s">
        <v>25</v>
      </c>
      <c r="I813" s="2" t="s">
        <v>26</v>
      </c>
      <c r="J813" s="2" t="s">
        <v>75</v>
      </c>
      <c r="K813" s="2" t="s">
        <v>698</v>
      </c>
      <c r="L813" s="3">
        <v>0.35000000000000003</v>
      </c>
      <c r="M813" s="2" t="s">
        <v>196</v>
      </c>
      <c r="N813" s="2" t="s">
        <v>500</v>
      </c>
      <c r="O813" s="5"/>
    </row>
    <row r="814" spans="1:15" s="4" customFormat="1" x14ac:dyDescent="0.25">
      <c r="A814" s="2" t="s">
        <v>15</v>
      </c>
      <c r="B814" s="2" t="str">
        <f>"FES1162768417"</f>
        <v>FES1162768417</v>
      </c>
      <c r="C814" s="2" t="s">
        <v>510</v>
      </c>
      <c r="D814" s="2">
        <v>1</v>
      </c>
      <c r="E814" s="2" t="str">
        <f>"2170756335"</f>
        <v>2170756335</v>
      </c>
      <c r="F814" s="2" t="s">
        <v>17</v>
      </c>
      <c r="G814" s="2" t="s">
        <v>18</v>
      </c>
      <c r="H814" s="2" t="s">
        <v>18</v>
      </c>
      <c r="I814" s="2" t="s">
        <v>57</v>
      </c>
      <c r="J814" s="2" t="s">
        <v>415</v>
      </c>
      <c r="K814" s="2" t="s">
        <v>698</v>
      </c>
      <c r="L814" s="3">
        <v>0.52638888888888891</v>
      </c>
      <c r="M814" s="2" t="s">
        <v>515</v>
      </c>
      <c r="N814" s="2" t="s">
        <v>500</v>
      </c>
      <c r="O814" s="5"/>
    </row>
    <row r="815" spans="1:15" s="4" customFormat="1" x14ac:dyDescent="0.25">
      <c r="A815" s="2" t="s">
        <v>15</v>
      </c>
      <c r="B815" s="2" t="str">
        <f>"FES1162768332"</f>
        <v>FES1162768332</v>
      </c>
      <c r="C815" s="2" t="s">
        <v>510</v>
      </c>
      <c r="D815" s="2">
        <v>1</v>
      </c>
      <c r="E815" s="2" t="str">
        <f>"2170756219"</f>
        <v>2170756219</v>
      </c>
      <c r="F815" s="2" t="s">
        <v>17</v>
      </c>
      <c r="G815" s="2" t="s">
        <v>18</v>
      </c>
      <c r="H815" s="2" t="s">
        <v>18</v>
      </c>
      <c r="I815" s="2" t="s">
        <v>116</v>
      </c>
      <c r="J815" s="2" t="s">
        <v>786</v>
      </c>
      <c r="K815" s="2" t="s">
        <v>802</v>
      </c>
      <c r="L815" s="3">
        <v>0.33333333333333331</v>
      </c>
      <c r="M815" s="2" t="s">
        <v>930</v>
      </c>
      <c r="N815" s="2" t="s">
        <v>500</v>
      </c>
      <c r="O815" s="5"/>
    </row>
    <row r="816" spans="1:15" s="4" customFormat="1" x14ac:dyDescent="0.25">
      <c r="A816" s="2" t="s">
        <v>15</v>
      </c>
      <c r="B816" s="2" t="str">
        <f>"FES1162768451"</f>
        <v>FES1162768451</v>
      </c>
      <c r="C816" s="2" t="s">
        <v>510</v>
      </c>
      <c r="D816" s="2">
        <v>1</v>
      </c>
      <c r="E816" s="2" t="str">
        <f>"2170755976"</f>
        <v>2170755976</v>
      </c>
      <c r="F816" s="2" t="s">
        <v>17</v>
      </c>
      <c r="G816" s="2" t="s">
        <v>18</v>
      </c>
      <c r="H816" s="2" t="s">
        <v>18</v>
      </c>
      <c r="I816" s="2" t="s">
        <v>57</v>
      </c>
      <c r="J816" s="2" t="s">
        <v>301</v>
      </c>
      <c r="K816" s="2" t="s">
        <v>698</v>
      </c>
      <c r="L816" s="3">
        <v>0.46249999999999997</v>
      </c>
      <c r="M816" s="2" t="s">
        <v>853</v>
      </c>
      <c r="N816" s="2" t="s">
        <v>500</v>
      </c>
      <c r="O816" s="5"/>
    </row>
    <row r="817" spans="1:15" s="4" customFormat="1" x14ac:dyDescent="0.25">
      <c r="A817" s="2" t="s">
        <v>15</v>
      </c>
      <c r="B817" s="2" t="str">
        <f>"FES1162768458"</f>
        <v>FES1162768458</v>
      </c>
      <c r="C817" s="2" t="s">
        <v>510</v>
      </c>
      <c r="D817" s="2">
        <v>1</v>
      </c>
      <c r="E817" s="2" t="str">
        <f>"2170753161"</f>
        <v>2170753161</v>
      </c>
      <c r="F817" s="2" t="s">
        <v>17</v>
      </c>
      <c r="G817" s="2" t="s">
        <v>18</v>
      </c>
      <c r="H817" s="2" t="s">
        <v>18</v>
      </c>
      <c r="I817" s="2" t="s">
        <v>46</v>
      </c>
      <c r="J817" s="2" t="s">
        <v>59</v>
      </c>
      <c r="K817" s="2" t="s">
        <v>698</v>
      </c>
      <c r="L817" s="3">
        <v>0.4375</v>
      </c>
      <c r="M817" s="2" t="s">
        <v>823</v>
      </c>
      <c r="N817" s="2" t="s">
        <v>500</v>
      </c>
      <c r="O817" s="5"/>
    </row>
    <row r="818" spans="1:15" s="4" customFormat="1" x14ac:dyDescent="0.25">
      <c r="A818" s="2" t="s">
        <v>15</v>
      </c>
      <c r="B818" s="2" t="str">
        <f>"FES1162768447"</f>
        <v>FES1162768447</v>
      </c>
      <c r="C818" s="2" t="s">
        <v>510</v>
      </c>
      <c r="D818" s="2">
        <v>1</v>
      </c>
      <c r="E818" s="2" t="str">
        <f>"2170754046"</f>
        <v>2170754046</v>
      </c>
      <c r="F818" s="2" t="s">
        <v>17</v>
      </c>
      <c r="G818" s="2" t="s">
        <v>18</v>
      </c>
      <c r="H818" s="2" t="s">
        <v>25</v>
      </c>
      <c r="I818" s="2" t="s">
        <v>26</v>
      </c>
      <c r="J818" s="2" t="s">
        <v>474</v>
      </c>
      <c r="K818" s="2" t="s">
        <v>698</v>
      </c>
      <c r="L818" s="3">
        <v>0.41666666666666669</v>
      </c>
      <c r="M818" s="2" t="s">
        <v>931</v>
      </c>
      <c r="N818" s="2" t="s">
        <v>500</v>
      </c>
      <c r="O818" s="5"/>
    </row>
    <row r="819" spans="1:15" s="4" customFormat="1" x14ac:dyDescent="0.25">
      <c r="A819" s="2" t="s">
        <v>15</v>
      </c>
      <c r="B819" s="2" t="str">
        <f>"FES1162768442"</f>
        <v>FES1162768442</v>
      </c>
      <c r="C819" s="2" t="s">
        <v>510</v>
      </c>
      <c r="D819" s="2">
        <v>1</v>
      </c>
      <c r="E819" s="2" t="str">
        <f>"2170756363"</f>
        <v>2170756363</v>
      </c>
      <c r="F819" s="2" t="s">
        <v>17</v>
      </c>
      <c r="G819" s="2" t="s">
        <v>18</v>
      </c>
      <c r="H819" s="2" t="s">
        <v>18</v>
      </c>
      <c r="I819" s="2" t="s">
        <v>50</v>
      </c>
      <c r="J819" s="2" t="s">
        <v>787</v>
      </c>
      <c r="K819" s="2" t="s">
        <v>698</v>
      </c>
      <c r="L819" s="3">
        <v>0.4375</v>
      </c>
      <c r="M819" s="2" t="s">
        <v>854</v>
      </c>
      <c r="N819" s="2" t="s">
        <v>500</v>
      </c>
      <c r="O819" s="5"/>
    </row>
    <row r="820" spans="1:15" s="4" customFormat="1" x14ac:dyDescent="0.25">
      <c r="A820" s="2" t="s">
        <v>15</v>
      </c>
      <c r="B820" s="2" t="str">
        <f>"FES1162768430"</f>
        <v>FES1162768430</v>
      </c>
      <c r="C820" s="2" t="s">
        <v>510</v>
      </c>
      <c r="D820" s="2">
        <v>1</v>
      </c>
      <c r="E820" s="2" t="str">
        <f>"2170756333"</f>
        <v>2170756333</v>
      </c>
      <c r="F820" s="2" t="s">
        <v>17</v>
      </c>
      <c r="G820" s="2" t="s">
        <v>18</v>
      </c>
      <c r="H820" s="2" t="s">
        <v>18</v>
      </c>
      <c r="I820" s="2" t="s">
        <v>52</v>
      </c>
      <c r="J820" s="2" t="s">
        <v>53</v>
      </c>
      <c r="K820" s="2" t="s">
        <v>698</v>
      </c>
      <c r="L820" s="3">
        <v>0.47013888888888888</v>
      </c>
      <c r="M820" s="2" t="s">
        <v>855</v>
      </c>
      <c r="N820" s="2" t="s">
        <v>500</v>
      </c>
      <c r="O820" s="5"/>
    </row>
    <row r="821" spans="1:15" s="4" customFormat="1" x14ac:dyDescent="0.25">
      <c r="A821" s="2" t="s">
        <v>15</v>
      </c>
      <c r="B821" s="2" t="str">
        <f>"FES1162768428"</f>
        <v>FES1162768428</v>
      </c>
      <c r="C821" s="2" t="s">
        <v>510</v>
      </c>
      <c r="D821" s="2">
        <v>1</v>
      </c>
      <c r="E821" s="2" t="str">
        <f>"2170756363"</f>
        <v>2170756363</v>
      </c>
      <c r="F821" s="2" t="s">
        <v>17</v>
      </c>
      <c r="G821" s="2" t="s">
        <v>18</v>
      </c>
      <c r="H821" s="2" t="s">
        <v>88</v>
      </c>
      <c r="I821" s="2" t="s">
        <v>109</v>
      </c>
      <c r="J821" s="2" t="s">
        <v>788</v>
      </c>
      <c r="K821" s="2" t="s">
        <v>698</v>
      </c>
      <c r="L821" s="3">
        <v>0.48472222222222222</v>
      </c>
      <c r="M821" s="2" t="s">
        <v>523</v>
      </c>
      <c r="N821" s="2" t="s">
        <v>500</v>
      </c>
      <c r="O821" s="5"/>
    </row>
    <row r="822" spans="1:15" s="4" customFormat="1" x14ac:dyDescent="0.25">
      <c r="A822" s="2" t="s">
        <v>15</v>
      </c>
      <c r="B822" s="2" t="str">
        <f>"FES1162768432"</f>
        <v>FES1162768432</v>
      </c>
      <c r="C822" s="2" t="s">
        <v>510</v>
      </c>
      <c r="D822" s="2">
        <v>1</v>
      </c>
      <c r="E822" s="2" t="str">
        <f>"2170756351"</f>
        <v>2170756351</v>
      </c>
      <c r="F822" s="2" t="s">
        <v>17</v>
      </c>
      <c r="G822" s="2" t="s">
        <v>18</v>
      </c>
      <c r="H822" s="2" t="s">
        <v>18</v>
      </c>
      <c r="I822" s="2" t="s">
        <v>63</v>
      </c>
      <c r="J822" s="2" t="s">
        <v>93</v>
      </c>
      <c r="K822" s="2" t="s">
        <v>698</v>
      </c>
      <c r="L822" s="3">
        <v>0.38611111111111113</v>
      </c>
      <c r="M822" s="2" t="s">
        <v>300</v>
      </c>
      <c r="N822" s="2" t="s">
        <v>500</v>
      </c>
      <c r="O822" s="5"/>
    </row>
    <row r="823" spans="1:15" s="4" customFormat="1" x14ac:dyDescent="0.25">
      <c r="A823" s="2" t="s">
        <v>15</v>
      </c>
      <c r="B823" s="2" t="str">
        <f>"FES1162768411"</f>
        <v>FES1162768411</v>
      </c>
      <c r="C823" s="2" t="s">
        <v>510</v>
      </c>
      <c r="D823" s="2">
        <v>1</v>
      </c>
      <c r="E823" s="2" t="str">
        <f>"2170756320"</f>
        <v>2170756320</v>
      </c>
      <c r="F823" s="2" t="s">
        <v>17</v>
      </c>
      <c r="G823" s="2" t="s">
        <v>18</v>
      </c>
      <c r="H823" s="2" t="s">
        <v>18</v>
      </c>
      <c r="I823" s="2" t="s">
        <v>429</v>
      </c>
      <c r="J823" s="2" t="s">
        <v>789</v>
      </c>
      <c r="K823" s="2" t="s">
        <v>698</v>
      </c>
      <c r="L823" s="3">
        <v>0.375</v>
      </c>
      <c r="M823" s="2" t="s">
        <v>856</v>
      </c>
      <c r="N823" s="2" t="s">
        <v>500</v>
      </c>
      <c r="O823" s="5"/>
    </row>
    <row r="824" spans="1:15" s="4" customFormat="1" x14ac:dyDescent="0.25">
      <c r="A824" s="2" t="s">
        <v>15</v>
      </c>
      <c r="B824" s="2" t="str">
        <f>"FES1162768409"</f>
        <v>FES1162768409</v>
      </c>
      <c r="C824" s="2" t="s">
        <v>510</v>
      </c>
      <c r="D824" s="2">
        <v>1</v>
      </c>
      <c r="E824" s="2" t="str">
        <f>"2170756318"</f>
        <v>2170756318</v>
      </c>
      <c r="F824" s="2" t="s">
        <v>17</v>
      </c>
      <c r="G824" s="2" t="s">
        <v>18</v>
      </c>
      <c r="H824" s="2" t="s">
        <v>18</v>
      </c>
      <c r="I824" s="2" t="s">
        <v>63</v>
      </c>
      <c r="J824" s="2" t="s">
        <v>609</v>
      </c>
      <c r="K824" s="2" t="s">
        <v>698</v>
      </c>
      <c r="L824" s="3">
        <v>0.38750000000000001</v>
      </c>
      <c r="M824" s="2" t="s">
        <v>679</v>
      </c>
      <c r="N824" s="2" t="s">
        <v>500</v>
      </c>
      <c r="O824" s="5"/>
    </row>
    <row r="825" spans="1:15" s="4" customFormat="1" x14ac:dyDescent="0.25">
      <c r="A825" s="2" t="s">
        <v>15</v>
      </c>
      <c r="B825" s="2" t="str">
        <f>"FES1162768454"</f>
        <v>FES1162768454</v>
      </c>
      <c r="C825" s="2" t="s">
        <v>510</v>
      </c>
      <c r="D825" s="2">
        <v>1</v>
      </c>
      <c r="E825" s="2" t="str">
        <f>"2170756372"</f>
        <v>2170756372</v>
      </c>
      <c r="F825" s="2" t="s">
        <v>17</v>
      </c>
      <c r="G825" s="2" t="s">
        <v>18</v>
      </c>
      <c r="H825" s="2" t="s">
        <v>25</v>
      </c>
      <c r="I825" s="2" t="s">
        <v>790</v>
      </c>
      <c r="J825" s="2" t="s">
        <v>791</v>
      </c>
      <c r="K825" s="2" t="s">
        <v>802</v>
      </c>
      <c r="L825" s="3">
        <v>0.68888888888888899</v>
      </c>
      <c r="M825" s="2" t="s">
        <v>1050</v>
      </c>
      <c r="N825" s="2" t="s">
        <v>500</v>
      </c>
      <c r="O825" s="5"/>
    </row>
    <row r="826" spans="1:15" s="4" customFormat="1" x14ac:dyDescent="0.25">
      <c r="A826" s="2" t="s">
        <v>15</v>
      </c>
      <c r="B826" s="2" t="str">
        <f>"FES1162768433"</f>
        <v>FES1162768433</v>
      </c>
      <c r="C826" s="2" t="s">
        <v>510</v>
      </c>
      <c r="D826" s="2">
        <v>1</v>
      </c>
      <c r="E826" s="2" t="str">
        <f>"2170756352"</f>
        <v>2170756352</v>
      </c>
      <c r="F826" s="2" t="s">
        <v>17</v>
      </c>
      <c r="G826" s="2" t="s">
        <v>18</v>
      </c>
      <c r="H826" s="2" t="s">
        <v>18</v>
      </c>
      <c r="I826" s="2" t="s">
        <v>63</v>
      </c>
      <c r="J826" s="2" t="s">
        <v>792</v>
      </c>
      <c r="K826" s="2" t="s">
        <v>698</v>
      </c>
      <c r="L826" s="3">
        <v>0.3263888888888889</v>
      </c>
      <c r="M826" s="2" t="s">
        <v>857</v>
      </c>
      <c r="N826" s="2" t="s">
        <v>500</v>
      </c>
      <c r="O826" s="5"/>
    </row>
    <row r="827" spans="1:15" s="4" customFormat="1" x14ac:dyDescent="0.25">
      <c r="A827" s="2" t="s">
        <v>15</v>
      </c>
      <c r="B827" s="2" t="str">
        <f>"FES1162768410"</f>
        <v>FES1162768410</v>
      </c>
      <c r="C827" s="2" t="s">
        <v>510</v>
      </c>
      <c r="D827" s="2">
        <v>1</v>
      </c>
      <c r="E827" s="2" t="str">
        <f>"2170756319"</f>
        <v>2170756319</v>
      </c>
      <c r="F827" s="2" t="s">
        <v>17</v>
      </c>
      <c r="G827" s="2" t="s">
        <v>18</v>
      </c>
      <c r="H827" s="2" t="s">
        <v>18</v>
      </c>
      <c r="I827" s="2" t="s">
        <v>63</v>
      </c>
      <c r="J827" s="2" t="s">
        <v>609</v>
      </c>
      <c r="K827" s="2" t="s">
        <v>698</v>
      </c>
      <c r="L827" s="3">
        <v>0.40763888888888888</v>
      </c>
      <c r="M827" s="2" t="s">
        <v>679</v>
      </c>
      <c r="N827" s="2" t="s">
        <v>500</v>
      </c>
      <c r="O827" s="5"/>
    </row>
    <row r="828" spans="1:15" s="4" customFormat="1" x14ac:dyDescent="0.25">
      <c r="A828" s="2" t="s">
        <v>15</v>
      </c>
      <c r="B828" s="2" t="str">
        <f>"FES1162768429"</f>
        <v>FES1162768429</v>
      </c>
      <c r="C828" s="2" t="s">
        <v>510</v>
      </c>
      <c r="D828" s="2">
        <v>1</v>
      </c>
      <c r="E828" s="2" t="str">
        <f>"2170756330"</f>
        <v>2170756330</v>
      </c>
      <c r="F828" s="2" t="s">
        <v>17</v>
      </c>
      <c r="G828" s="2" t="s">
        <v>18</v>
      </c>
      <c r="H828" s="2" t="s">
        <v>18</v>
      </c>
      <c r="I828" s="2" t="s">
        <v>52</v>
      </c>
      <c r="J828" s="2" t="s">
        <v>53</v>
      </c>
      <c r="K828" s="2" t="s">
        <v>698</v>
      </c>
      <c r="L828" s="3">
        <v>0.47013888888888888</v>
      </c>
      <c r="M828" s="2" t="s">
        <v>855</v>
      </c>
      <c r="N828" s="2" t="s">
        <v>500</v>
      </c>
      <c r="O828" s="5"/>
    </row>
    <row r="829" spans="1:15" s="4" customFormat="1" x14ac:dyDescent="0.25">
      <c r="A829" s="2" t="s">
        <v>15</v>
      </c>
      <c r="B829" s="2" t="str">
        <f>"FES1162768445"</f>
        <v>FES1162768445</v>
      </c>
      <c r="C829" s="2" t="s">
        <v>510</v>
      </c>
      <c r="D829" s="2">
        <v>1</v>
      </c>
      <c r="E829" s="2" t="str">
        <f>"2170756367"</f>
        <v>2170756367</v>
      </c>
      <c r="F829" s="2" t="s">
        <v>17</v>
      </c>
      <c r="G829" s="2" t="s">
        <v>18</v>
      </c>
      <c r="H829" s="2" t="s">
        <v>18</v>
      </c>
      <c r="I829" s="2" t="s">
        <v>105</v>
      </c>
      <c r="J829" s="2" t="s">
        <v>793</v>
      </c>
      <c r="K829" s="2" t="s">
        <v>698</v>
      </c>
      <c r="L829" s="3">
        <v>0.4375</v>
      </c>
      <c r="M829" s="2" t="s">
        <v>559</v>
      </c>
      <c r="N829" s="2" t="s">
        <v>500</v>
      </c>
      <c r="O829" s="5"/>
    </row>
    <row r="830" spans="1:15" s="4" customFormat="1" x14ac:dyDescent="0.25">
      <c r="A830" s="2" t="s">
        <v>15</v>
      </c>
      <c r="B830" s="2" t="str">
        <f>"FES1162768456"</f>
        <v>FES1162768456</v>
      </c>
      <c r="C830" s="2" t="s">
        <v>510</v>
      </c>
      <c r="D830" s="2">
        <v>1</v>
      </c>
      <c r="E830" s="2" t="str">
        <f>"2170751828"</f>
        <v>2170751828</v>
      </c>
      <c r="F830" s="2" t="s">
        <v>17</v>
      </c>
      <c r="G830" s="2" t="s">
        <v>18</v>
      </c>
      <c r="H830" s="2" t="s">
        <v>36</v>
      </c>
      <c r="I830" s="2" t="s">
        <v>37</v>
      </c>
      <c r="J830" s="2" t="s">
        <v>476</v>
      </c>
      <c r="K830" s="2" t="s">
        <v>698</v>
      </c>
      <c r="L830" s="3">
        <v>0.34722222222222227</v>
      </c>
      <c r="M830" s="2" t="s">
        <v>858</v>
      </c>
      <c r="N830" s="2" t="s">
        <v>500</v>
      </c>
      <c r="O830" s="5"/>
    </row>
    <row r="831" spans="1:15" s="4" customFormat="1" x14ac:dyDescent="0.25">
      <c r="A831" s="2" t="s">
        <v>15</v>
      </c>
      <c r="B831" s="2" t="str">
        <f>"FES1062768461"</f>
        <v>FES1062768461</v>
      </c>
      <c r="C831" s="2" t="s">
        <v>510</v>
      </c>
      <c r="D831" s="2">
        <v>1</v>
      </c>
      <c r="E831" s="2" t="str">
        <f>"2170753808"</f>
        <v>2170753808</v>
      </c>
      <c r="F831" s="2" t="s">
        <v>17</v>
      </c>
      <c r="G831" s="2" t="s">
        <v>18</v>
      </c>
      <c r="H831" s="2" t="s">
        <v>25</v>
      </c>
      <c r="I831" s="2" t="s">
        <v>26</v>
      </c>
      <c r="J831" s="2" t="s">
        <v>474</v>
      </c>
      <c r="K831" s="2" t="s">
        <v>698</v>
      </c>
      <c r="L831" s="3">
        <v>0.41666666666666669</v>
      </c>
      <c r="M831" s="2" t="s">
        <v>931</v>
      </c>
      <c r="N831" s="2" t="s">
        <v>500</v>
      </c>
      <c r="O831" s="5"/>
    </row>
    <row r="832" spans="1:15" s="4" customFormat="1" x14ac:dyDescent="0.25">
      <c r="A832" s="2" t="s">
        <v>15</v>
      </c>
      <c r="B832" s="2" t="str">
        <f>"FES1162768452"</f>
        <v>FES1162768452</v>
      </c>
      <c r="C832" s="2" t="s">
        <v>510</v>
      </c>
      <c r="D832" s="2">
        <v>1</v>
      </c>
      <c r="E832" s="2" t="str">
        <f>"2170756046"</f>
        <v>2170756046</v>
      </c>
      <c r="F832" s="2" t="s">
        <v>17</v>
      </c>
      <c r="G832" s="2" t="s">
        <v>18</v>
      </c>
      <c r="H832" s="2" t="s">
        <v>25</v>
      </c>
      <c r="I832" s="2" t="s">
        <v>42</v>
      </c>
      <c r="J832" s="2" t="s">
        <v>651</v>
      </c>
      <c r="K832" s="2" t="s">
        <v>698</v>
      </c>
      <c r="L832" s="3">
        <v>0.54166666666666663</v>
      </c>
      <c r="M832" s="2" t="s">
        <v>722</v>
      </c>
      <c r="N832" s="2" t="s">
        <v>500</v>
      </c>
      <c r="O832" s="5"/>
    </row>
    <row r="833" spans="1:15" s="4" customFormat="1" x14ac:dyDescent="0.25">
      <c r="A833" s="2" t="s">
        <v>15</v>
      </c>
      <c r="B833" s="2" t="str">
        <f>"FES1162768459"</f>
        <v>FES1162768459</v>
      </c>
      <c r="C833" s="2" t="s">
        <v>510</v>
      </c>
      <c r="D833" s="2">
        <v>1</v>
      </c>
      <c r="E833" s="2" t="str">
        <f>"2170753345"</f>
        <v>2170753345</v>
      </c>
      <c r="F833" s="2" t="s">
        <v>17</v>
      </c>
      <c r="G833" s="2" t="s">
        <v>18</v>
      </c>
      <c r="H833" s="2" t="s">
        <v>36</v>
      </c>
      <c r="I833" s="2" t="s">
        <v>37</v>
      </c>
      <c r="J833" s="2" t="s">
        <v>631</v>
      </c>
      <c r="K833" s="2" t="s">
        <v>698</v>
      </c>
      <c r="L833" s="3">
        <v>0.35416666666666669</v>
      </c>
      <c r="M833" s="2" t="s">
        <v>700</v>
      </c>
      <c r="N833" s="2" t="s">
        <v>500</v>
      </c>
      <c r="O833" s="5"/>
    </row>
    <row r="834" spans="1:15" s="4" customFormat="1" x14ac:dyDescent="0.25">
      <c r="A834" s="2" t="s">
        <v>15</v>
      </c>
      <c r="B834" s="2" t="str">
        <f>"FES1162763544"</f>
        <v>FES1162763544</v>
      </c>
      <c r="C834" s="2" t="s">
        <v>510</v>
      </c>
      <c r="D834" s="2">
        <v>1</v>
      </c>
      <c r="E834" s="2" t="str">
        <f>"2170750269"</f>
        <v>2170750269</v>
      </c>
      <c r="F834" s="2" t="s">
        <v>17</v>
      </c>
      <c r="G834" s="2" t="s">
        <v>18</v>
      </c>
      <c r="H834" s="2" t="s">
        <v>18</v>
      </c>
      <c r="I834" s="2" t="s">
        <v>794</v>
      </c>
      <c r="J834" s="2" t="s">
        <v>795</v>
      </c>
      <c r="K834" s="2" t="s">
        <v>698</v>
      </c>
      <c r="L834" s="3">
        <v>0.35138888888888892</v>
      </c>
      <c r="M834" s="2" t="s">
        <v>859</v>
      </c>
      <c r="N834" s="2" t="s">
        <v>500</v>
      </c>
      <c r="O834" s="5"/>
    </row>
    <row r="835" spans="1:15" s="4" customFormat="1" x14ac:dyDescent="0.25">
      <c r="A835" s="2" t="s">
        <v>15</v>
      </c>
      <c r="B835" s="2" t="str">
        <f>"FES1162768463"</f>
        <v>FES1162768463</v>
      </c>
      <c r="C835" s="2" t="s">
        <v>510</v>
      </c>
      <c r="D835" s="2">
        <v>2</v>
      </c>
      <c r="E835" s="2" t="str">
        <f>"2170753942"</f>
        <v>2170753942</v>
      </c>
      <c r="F835" s="2" t="s">
        <v>17</v>
      </c>
      <c r="G835" s="2" t="s">
        <v>18</v>
      </c>
      <c r="H835" s="2" t="s">
        <v>36</v>
      </c>
      <c r="I835" s="2" t="s">
        <v>37</v>
      </c>
      <c r="J835" s="2" t="s">
        <v>303</v>
      </c>
      <c r="K835" s="2" t="s">
        <v>698</v>
      </c>
      <c r="L835" s="3">
        <v>0.3888888888888889</v>
      </c>
      <c r="M835" s="2" t="s">
        <v>307</v>
      </c>
      <c r="N835" s="2" t="s">
        <v>500</v>
      </c>
      <c r="O835" s="5"/>
    </row>
    <row r="836" spans="1:15" s="4" customFormat="1" x14ac:dyDescent="0.25">
      <c r="A836" s="2" t="s">
        <v>15</v>
      </c>
      <c r="B836" s="2" t="str">
        <f>"FES1162768472"</f>
        <v>FES1162768472</v>
      </c>
      <c r="C836" s="2" t="s">
        <v>510</v>
      </c>
      <c r="D836" s="2">
        <v>1</v>
      </c>
      <c r="E836" s="2" t="str">
        <f>"2170726392"</f>
        <v>2170726392</v>
      </c>
      <c r="F836" s="2" t="s">
        <v>17</v>
      </c>
      <c r="G836" s="2" t="s">
        <v>18</v>
      </c>
      <c r="H836" s="2" t="s">
        <v>25</v>
      </c>
      <c r="I836" s="2" t="s">
        <v>26</v>
      </c>
      <c r="J836" s="2" t="s">
        <v>762</v>
      </c>
      <c r="K836" s="2" t="s">
        <v>698</v>
      </c>
      <c r="L836" s="3">
        <v>0.42430555555555555</v>
      </c>
      <c r="M836" s="2" t="s">
        <v>819</v>
      </c>
      <c r="N836" s="2" t="s">
        <v>500</v>
      </c>
      <c r="O836" s="5"/>
    </row>
    <row r="837" spans="1:15" s="4" customFormat="1" x14ac:dyDescent="0.25">
      <c r="A837" s="2" t="s">
        <v>15</v>
      </c>
      <c r="B837" s="2" t="str">
        <f>"FES1162768446"</f>
        <v>FES1162768446</v>
      </c>
      <c r="C837" s="2" t="s">
        <v>510</v>
      </c>
      <c r="D837" s="2">
        <v>1</v>
      </c>
      <c r="E837" s="2" t="str">
        <f>"2170756369"</f>
        <v>2170756369</v>
      </c>
      <c r="F837" s="2" t="s">
        <v>17</v>
      </c>
      <c r="G837" s="2" t="s">
        <v>18</v>
      </c>
      <c r="H837" s="2" t="s">
        <v>78</v>
      </c>
      <c r="I837" s="2" t="s">
        <v>79</v>
      </c>
      <c r="J837" s="2" t="s">
        <v>81</v>
      </c>
      <c r="K837" s="2" t="s">
        <v>698</v>
      </c>
      <c r="L837" s="3">
        <v>0.34722222222222227</v>
      </c>
      <c r="M837" s="2" t="s">
        <v>923</v>
      </c>
      <c r="N837" s="2" t="s">
        <v>500</v>
      </c>
      <c r="O837" s="5"/>
    </row>
    <row r="838" spans="1:15" s="4" customFormat="1" x14ac:dyDescent="0.25">
      <c r="A838" s="2" t="s">
        <v>15</v>
      </c>
      <c r="B838" s="2" t="str">
        <f>"FES1162768455"</f>
        <v>FES1162768455</v>
      </c>
      <c r="C838" s="2" t="s">
        <v>510</v>
      </c>
      <c r="D838" s="2">
        <v>1</v>
      </c>
      <c r="E838" s="2" t="str">
        <f>"2170756377"</f>
        <v>2170756377</v>
      </c>
      <c r="F838" s="2" t="s">
        <v>17</v>
      </c>
      <c r="G838" s="2" t="s">
        <v>18</v>
      </c>
      <c r="H838" s="2" t="s">
        <v>19</v>
      </c>
      <c r="I838" s="2" t="s">
        <v>20</v>
      </c>
      <c r="J838" s="2" t="s">
        <v>359</v>
      </c>
      <c r="K838" s="2" t="s">
        <v>698</v>
      </c>
      <c r="L838" s="3">
        <v>0.47500000000000003</v>
      </c>
      <c r="M838" s="2" t="s">
        <v>860</v>
      </c>
      <c r="N838" s="2" t="s">
        <v>500</v>
      </c>
      <c r="O838" s="5"/>
    </row>
    <row r="839" spans="1:15" s="4" customFormat="1" x14ac:dyDescent="0.25">
      <c r="A839" s="2" t="s">
        <v>15</v>
      </c>
      <c r="B839" s="2" t="str">
        <f>"FES1162768475"</f>
        <v>FES1162768475</v>
      </c>
      <c r="C839" s="2" t="s">
        <v>510</v>
      </c>
      <c r="D839" s="2">
        <v>1</v>
      </c>
      <c r="E839" s="2" t="str">
        <f>"2170756396"</f>
        <v>2170756396</v>
      </c>
      <c r="F839" s="2" t="s">
        <v>17</v>
      </c>
      <c r="G839" s="2" t="s">
        <v>18</v>
      </c>
      <c r="H839" s="2" t="s">
        <v>30</v>
      </c>
      <c r="I839" s="2" t="s">
        <v>147</v>
      </c>
      <c r="J839" s="2" t="s">
        <v>148</v>
      </c>
      <c r="K839" s="2" t="s">
        <v>698</v>
      </c>
      <c r="L839" s="3">
        <v>0.43055555555555558</v>
      </c>
      <c r="M839" s="2" t="s">
        <v>861</v>
      </c>
      <c r="N839" s="2" t="s">
        <v>500</v>
      </c>
      <c r="O839" s="5"/>
    </row>
    <row r="840" spans="1:15" s="4" customFormat="1" x14ac:dyDescent="0.25">
      <c r="A840" s="2" t="s">
        <v>15</v>
      </c>
      <c r="B840" s="2" t="str">
        <f>"FES1162768464"</f>
        <v>FES1162768464</v>
      </c>
      <c r="C840" s="2" t="s">
        <v>510</v>
      </c>
      <c r="D840" s="2">
        <v>1</v>
      </c>
      <c r="E840" s="2" t="str">
        <f>"2170756379"</f>
        <v>2170756379</v>
      </c>
      <c r="F840" s="2" t="s">
        <v>17</v>
      </c>
      <c r="G840" s="2" t="s">
        <v>18</v>
      </c>
      <c r="H840" s="2" t="s">
        <v>18</v>
      </c>
      <c r="I840" s="2" t="s">
        <v>63</v>
      </c>
      <c r="J840" s="2" t="s">
        <v>93</v>
      </c>
      <c r="K840" s="2" t="s">
        <v>698</v>
      </c>
      <c r="L840" s="3">
        <v>0.38750000000000001</v>
      </c>
      <c r="M840" s="2" t="s">
        <v>210</v>
      </c>
      <c r="N840" s="2" t="s">
        <v>500</v>
      </c>
      <c r="O840" s="5"/>
    </row>
    <row r="841" spans="1:15" s="4" customFormat="1" x14ac:dyDescent="0.25">
      <c r="A841" s="2" t="s">
        <v>15</v>
      </c>
      <c r="B841" s="2" t="str">
        <f>"FES1162768473"</f>
        <v>FES1162768473</v>
      </c>
      <c r="C841" s="2" t="s">
        <v>510</v>
      </c>
      <c r="D841" s="2">
        <v>1</v>
      </c>
      <c r="E841" s="2" t="str">
        <f>"2170756393"</f>
        <v>2170756393</v>
      </c>
      <c r="F841" s="2" t="s">
        <v>17</v>
      </c>
      <c r="G841" s="2" t="s">
        <v>18</v>
      </c>
      <c r="H841" s="2" t="s">
        <v>88</v>
      </c>
      <c r="I841" s="2" t="s">
        <v>109</v>
      </c>
      <c r="J841" s="2" t="s">
        <v>155</v>
      </c>
      <c r="K841" s="2" t="s">
        <v>698</v>
      </c>
      <c r="L841" s="3">
        <v>0.4375</v>
      </c>
      <c r="M841" s="2" t="s">
        <v>862</v>
      </c>
      <c r="N841" s="2" t="s">
        <v>500</v>
      </c>
      <c r="O841" s="5"/>
    </row>
    <row r="842" spans="1:15" s="4" customFormat="1" x14ac:dyDescent="0.25">
      <c r="A842" s="2" t="s">
        <v>15</v>
      </c>
      <c r="B842" s="2" t="str">
        <f>"FES1162768453"</f>
        <v>FES1162768453</v>
      </c>
      <c r="C842" s="2" t="s">
        <v>510</v>
      </c>
      <c r="D842" s="2">
        <v>1</v>
      </c>
      <c r="E842" s="2" t="str">
        <f>"2170756049"</f>
        <v>2170756049</v>
      </c>
      <c r="F842" s="2" t="s">
        <v>17</v>
      </c>
      <c r="G842" s="2" t="s">
        <v>18</v>
      </c>
      <c r="H842" s="2" t="s">
        <v>19</v>
      </c>
      <c r="I842" s="2" t="s">
        <v>111</v>
      </c>
      <c r="J842" s="2" t="s">
        <v>405</v>
      </c>
      <c r="K842" s="2" t="s">
        <v>698</v>
      </c>
      <c r="L842" s="3">
        <v>0.3520833333333333</v>
      </c>
      <c r="M842" s="2" t="s">
        <v>714</v>
      </c>
      <c r="N842" s="2" t="s">
        <v>500</v>
      </c>
      <c r="O842" s="5"/>
    </row>
    <row r="843" spans="1:15" s="4" customFormat="1" x14ac:dyDescent="0.25">
      <c r="A843" s="2" t="s">
        <v>15</v>
      </c>
      <c r="B843" s="2" t="str">
        <f>"FES1162768477"</f>
        <v>FES1162768477</v>
      </c>
      <c r="C843" s="2" t="s">
        <v>510</v>
      </c>
      <c r="D843" s="2">
        <v>1</v>
      </c>
      <c r="E843" s="2" t="str">
        <f>"2170756398"</f>
        <v>2170756398</v>
      </c>
      <c r="F843" s="2" t="s">
        <v>17</v>
      </c>
      <c r="G843" s="2" t="s">
        <v>18</v>
      </c>
      <c r="H843" s="2" t="s">
        <v>18</v>
      </c>
      <c r="I843" s="2" t="s">
        <v>329</v>
      </c>
      <c r="J843" s="2" t="s">
        <v>349</v>
      </c>
      <c r="K843" s="2" t="s">
        <v>698</v>
      </c>
      <c r="L843" s="3">
        <v>0.41666666666666669</v>
      </c>
      <c r="M843" s="2" t="s">
        <v>392</v>
      </c>
      <c r="N843" s="2" t="s">
        <v>500</v>
      </c>
      <c r="O843" s="5"/>
    </row>
    <row r="844" spans="1:15" s="4" customFormat="1" x14ac:dyDescent="0.25">
      <c r="A844" s="2" t="s">
        <v>15</v>
      </c>
      <c r="B844" s="2" t="str">
        <f>"FES1162768474"</f>
        <v>FES1162768474</v>
      </c>
      <c r="C844" s="2" t="s">
        <v>510</v>
      </c>
      <c r="D844" s="2">
        <v>1</v>
      </c>
      <c r="E844" s="2" t="str">
        <f>"2170756394"</f>
        <v>2170756394</v>
      </c>
      <c r="F844" s="2" t="s">
        <v>17</v>
      </c>
      <c r="G844" s="2" t="s">
        <v>18</v>
      </c>
      <c r="H844" s="2" t="s">
        <v>88</v>
      </c>
      <c r="I844" s="2" t="s">
        <v>109</v>
      </c>
      <c r="J844" s="2" t="s">
        <v>452</v>
      </c>
      <c r="K844" s="2" t="s">
        <v>698</v>
      </c>
      <c r="L844" s="3">
        <v>0.4375</v>
      </c>
      <c r="M844" s="2" t="s">
        <v>366</v>
      </c>
      <c r="N844" s="2" t="s">
        <v>500</v>
      </c>
      <c r="O844" s="5"/>
    </row>
    <row r="845" spans="1:15" s="4" customFormat="1" x14ac:dyDescent="0.25">
      <c r="A845" s="2" t="s">
        <v>15</v>
      </c>
      <c r="B845" s="2" t="str">
        <f>"FES1162768478"</f>
        <v>FES1162768478</v>
      </c>
      <c r="C845" s="2" t="s">
        <v>510</v>
      </c>
      <c r="D845" s="2">
        <v>1</v>
      </c>
      <c r="E845" s="2" t="str">
        <f>"2170753103"</f>
        <v>2170753103</v>
      </c>
      <c r="F845" s="2" t="s">
        <v>17</v>
      </c>
      <c r="G845" s="2" t="s">
        <v>18</v>
      </c>
      <c r="H845" s="2" t="s">
        <v>36</v>
      </c>
      <c r="I845" s="2" t="s">
        <v>67</v>
      </c>
      <c r="J845" s="2" t="s">
        <v>312</v>
      </c>
      <c r="K845" s="2" t="s">
        <v>698</v>
      </c>
      <c r="L845" s="3">
        <v>0.38541666666666669</v>
      </c>
      <c r="M845" s="2" t="s">
        <v>311</v>
      </c>
      <c r="N845" s="2" t="s">
        <v>500</v>
      </c>
      <c r="O845" s="5"/>
    </row>
    <row r="846" spans="1:15" s="4" customFormat="1" x14ac:dyDescent="0.25">
      <c r="A846" s="2" t="s">
        <v>15</v>
      </c>
      <c r="B846" s="2" t="str">
        <f>"FES1162768462"</f>
        <v>FES1162768462</v>
      </c>
      <c r="C846" s="2" t="s">
        <v>510</v>
      </c>
      <c r="D846" s="2">
        <v>1</v>
      </c>
      <c r="E846" s="2" t="str">
        <f>"2170753838"</f>
        <v>2170753838</v>
      </c>
      <c r="F846" s="2" t="s">
        <v>17</v>
      </c>
      <c r="G846" s="2" t="s">
        <v>18</v>
      </c>
      <c r="H846" s="2" t="s">
        <v>19</v>
      </c>
      <c r="I846" s="2" t="s">
        <v>269</v>
      </c>
      <c r="J846" s="2" t="s">
        <v>796</v>
      </c>
      <c r="K846" s="2" t="s">
        <v>698</v>
      </c>
      <c r="L846" s="3">
        <v>0.3659722222222222</v>
      </c>
      <c r="M846" s="2" t="s">
        <v>863</v>
      </c>
      <c r="N846" s="2" t="s">
        <v>500</v>
      </c>
      <c r="O846" s="5"/>
    </row>
    <row r="847" spans="1:15" s="4" customFormat="1" x14ac:dyDescent="0.25">
      <c r="A847" s="2" t="s">
        <v>15</v>
      </c>
      <c r="B847" s="2" t="str">
        <f>"FES1162768425"</f>
        <v>FES1162768425</v>
      </c>
      <c r="C847" s="2" t="s">
        <v>510</v>
      </c>
      <c r="D847" s="2">
        <v>2</v>
      </c>
      <c r="E847" s="2" t="str">
        <f>"2170756348"</f>
        <v>2170756348</v>
      </c>
      <c r="F847" s="2" t="s">
        <v>205</v>
      </c>
      <c r="G847" s="2" t="s">
        <v>206</v>
      </c>
      <c r="H847" s="2" t="s">
        <v>19</v>
      </c>
      <c r="I847" s="2" t="s">
        <v>20</v>
      </c>
      <c r="J847" s="2" t="s">
        <v>21</v>
      </c>
      <c r="K847" s="2" t="s">
        <v>698</v>
      </c>
      <c r="L847" s="3">
        <v>0.375</v>
      </c>
      <c r="M847" s="2" t="s">
        <v>263</v>
      </c>
      <c r="N847" s="2" t="s">
        <v>500</v>
      </c>
      <c r="O847" s="5"/>
    </row>
    <row r="848" spans="1:15" s="4" customFormat="1" x14ac:dyDescent="0.25">
      <c r="A848" s="2" t="s">
        <v>15</v>
      </c>
      <c r="B848" s="2" t="str">
        <f>"FES1162768339"</f>
        <v>FES1162768339</v>
      </c>
      <c r="C848" s="2" t="s">
        <v>510</v>
      </c>
      <c r="D848" s="2">
        <v>1</v>
      </c>
      <c r="E848" s="2" t="str">
        <f>"2170756212"</f>
        <v>2170756212</v>
      </c>
      <c r="F848" s="2" t="s">
        <v>17</v>
      </c>
      <c r="G848" s="2" t="s">
        <v>18</v>
      </c>
      <c r="H848" s="2" t="s">
        <v>18</v>
      </c>
      <c r="I848" s="2" t="s">
        <v>63</v>
      </c>
      <c r="J848" s="2" t="s">
        <v>797</v>
      </c>
      <c r="K848" s="2" t="s">
        <v>698</v>
      </c>
      <c r="L848" s="3">
        <v>0.41666666666666669</v>
      </c>
      <c r="M848" s="2" t="s">
        <v>864</v>
      </c>
      <c r="N848" s="2" t="s">
        <v>500</v>
      </c>
      <c r="O848" s="5"/>
    </row>
    <row r="849" spans="1:15" s="4" customFormat="1" x14ac:dyDescent="0.25">
      <c r="A849" s="2" t="s">
        <v>15</v>
      </c>
      <c r="B849" s="2" t="str">
        <f>"FES1162768468"</f>
        <v>FES1162768468</v>
      </c>
      <c r="C849" s="2" t="s">
        <v>510</v>
      </c>
      <c r="D849" s="2">
        <v>1</v>
      </c>
      <c r="E849" s="2" t="str">
        <f>"2170755043"</f>
        <v>2170755043</v>
      </c>
      <c r="F849" s="2" t="s">
        <v>17</v>
      </c>
      <c r="G849" s="2" t="s">
        <v>18</v>
      </c>
      <c r="H849" s="2" t="s">
        <v>36</v>
      </c>
      <c r="I849" s="2" t="s">
        <v>37</v>
      </c>
      <c r="J849" s="2" t="s">
        <v>272</v>
      </c>
      <c r="K849" s="2" t="s">
        <v>698</v>
      </c>
      <c r="L849" s="3">
        <v>0.35902777777777778</v>
      </c>
      <c r="M849" s="2" t="s">
        <v>268</v>
      </c>
      <c r="N849" s="2" t="s">
        <v>500</v>
      </c>
      <c r="O849" s="5"/>
    </row>
    <row r="850" spans="1:15" s="4" customFormat="1" x14ac:dyDescent="0.25">
      <c r="A850" s="2" t="s">
        <v>15</v>
      </c>
      <c r="B850" s="2" t="str">
        <f>"FES1162768470"</f>
        <v>FES1162768470</v>
      </c>
      <c r="C850" s="2" t="s">
        <v>510</v>
      </c>
      <c r="D850" s="2">
        <v>1</v>
      </c>
      <c r="E850" s="2" t="str">
        <f>"2170755944"</f>
        <v>2170755944</v>
      </c>
      <c r="F850" s="2" t="s">
        <v>17</v>
      </c>
      <c r="G850" s="2" t="s">
        <v>18</v>
      </c>
      <c r="H850" s="2" t="s">
        <v>36</v>
      </c>
      <c r="I850" s="2" t="s">
        <v>37</v>
      </c>
      <c r="J850" s="2" t="s">
        <v>378</v>
      </c>
      <c r="K850" s="2" t="s">
        <v>698</v>
      </c>
      <c r="L850" s="3">
        <v>0.34722222222222227</v>
      </c>
      <c r="M850" s="2" t="s">
        <v>865</v>
      </c>
      <c r="N850" s="2" t="s">
        <v>500</v>
      </c>
      <c r="O850" s="5"/>
    </row>
    <row r="851" spans="1:15" s="4" customFormat="1" x14ac:dyDescent="0.25">
      <c r="A851" s="2" t="s">
        <v>15</v>
      </c>
      <c r="B851" s="2" t="str">
        <f>"FES1162768469"</f>
        <v>FES1162768469</v>
      </c>
      <c r="C851" s="2" t="s">
        <v>510</v>
      </c>
      <c r="D851" s="2">
        <v>1</v>
      </c>
      <c r="E851" s="2" t="str">
        <f>"2170755891"</f>
        <v>2170755891</v>
      </c>
      <c r="F851" s="2" t="s">
        <v>17</v>
      </c>
      <c r="G851" s="2" t="s">
        <v>18</v>
      </c>
      <c r="H851" s="2" t="s">
        <v>36</v>
      </c>
      <c r="I851" s="2" t="s">
        <v>134</v>
      </c>
      <c r="J851" s="2" t="s">
        <v>135</v>
      </c>
      <c r="K851" s="2" t="s">
        <v>698</v>
      </c>
      <c r="L851" s="3">
        <v>0.50763888888888886</v>
      </c>
      <c r="M851" s="2" t="s">
        <v>835</v>
      </c>
      <c r="N851" s="2" t="s">
        <v>500</v>
      </c>
      <c r="O851" s="5"/>
    </row>
    <row r="852" spans="1:15" x14ac:dyDescent="0.25">
      <c r="A852" s="2" t="s">
        <v>15</v>
      </c>
      <c r="B852" s="2" t="str">
        <f>"FES1162768654"</f>
        <v>FES1162768654</v>
      </c>
      <c r="C852" s="2" t="s">
        <v>698</v>
      </c>
      <c r="D852" s="2">
        <v>1</v>
      </c>
      <c r="E852" s="2" t="str">
        <f>"2170753615"</f>
        <v>2170753615</v>
      </c>
      <c r="F852" s="2" t="s">
        <v>17</v>
      </c>
      <c r="G852" s="2" t="s">
        <v>18</v>
      </c>
      <c r="H852" s="2" t="s">
        <v>25</v>
      </c>
      <c r="I852" s="2" t="s">
        <v>26</v>
      </c>
      <c r="J852" s="2" t="s">
        <v>94</v>
      </c>
      <c r="K852" s="2" t="s">
        <v>802</v>
      </c>
      <c r="L852" s="3">
        <v>0.41666666666666669</v>
      </c>
      <c r="M852" s="2" t="s">
        <v>932</v>
      </c>
      <c r="N852" s="2" t="s">
        <v>500</v>
      </c>
      <c r="O852" s="2"/>
    </row>
    <row r="853" spans="1:15" x14ac:dyDescent="0.25">
      <c r="A853" s="2" t="s">
        <v>15</v>
      </c>
      <c r="B853" s="2" t="str">
        <f>"RFES1162768127"</f>
        <v>RFES1162768127</v>
      </c>
      <c r="C853" s="2" t="s">
        <v>698</v>
      </c>
      <c r="D853" s="2">
        <v>1</v>
      </c>
      <c r="E853" s="2" t="str">
        <f>"2170756014"</f>
        <v>2170756014</v>
      </c>
      <c r="F853" s="2" t="s">
        <v>17</v>
      </c>
      <c r="G853" s="2" t="s">
        <v>25</v>
      </c>
      <c r="H853" s="2" t="s">
        <v>18</v>
      </c>
      <c r="I853" s="2" t="s">
        <v>46</v>
      </c>
      <c r="J853" s="2" t="s">
        <v>170</v>
      </c>
      <c r="K853" s="2" t="s">
        <v>802</v>
      </c>
      <c r="L853" s="3">
        <v>0.38194444444444442</v>
      </c>
      <c r="M853" s="2" t="s">
        <v>933</v>
      </c>
      <c r="N853" s="2" t="s">
        <v>500</v>
      </c>
      <c r="O853" s="2"/>
    </row>
    <row r="854" spans="1:15" x14ac:dyDescent="0.25">
      <c r="A854" s="2" t="s">
        <v>15</v>
      </c>
      <c r="B854" s="2" t="str">
        <f>"FES1162768499"</f>
        <v>FES1162768499</v>
      </c>
      <c r="C854" s="2" t="s">
        <v>698</v>
      </c>
      <c r="D854" s="2">
        <v>1</v>
      </c>
      <c r="E854" s="2" t="str">
        <f>"2170755375"</f>
        <v>2170755375</v>
      </c>
      <c r="F854" s="2" t="s">
        <v>17</v>
      </c>
      <c r="G854" s="2" t="s">
        <v>18</v>
      </c>
      <c r="H854" s="2" t="s">
        <v>18</v>
      </c>
      <c r="I854" s="2" t="s">
        <v>65</v>
      </c>
      <c r="J854" s="2" t="s">
        <v>866</v>
      </c>
      <c r="K854" s="2" t="s">
        <v>802</v>
      </c>
      <c r="L854" s="3">
        <v>0.4375</v>
      </c>
      <c r="M854" s="2" t="s">
        <v>934</v>
      </c>
      <c r="N854" s="2" t="s">
        <v>500</v>
      </c>
      <c r="O854" s="2"/>
    </row>
    <row r="855" spans="1:15" x14ac:dyDescent="0.25">
      <c r="A855" s="2" t="s">
        <v>15</v>
      </c>
      <c r="B855" s="2" t="str">
        <f>"019911311289"</f>
        <v>019911311289</v>
      </c>
      <c r="C855" s="2" t="s">
        <v>698</v>
      </c>
      <c r="D855" s="2">
        <v>1</v>
      </c>
      <c r="E855" s="2" t="str">
        <f>"1703"</f>
        <v>1703</v>
      </c>
      <c r="F855" s="2" t="s">
        <v>205</v>
      </c>
      <c r="G855" s="2" t="s">
        <v>25</v>
      </c>
      <c r="H855" s="2" t="s">
        <v>206</v>
      </c>
      <c r="I855" s="2" t="s">
        <v>46</v>
      </c>
      <c r="J855" s="2" t="s">
        <v>755</v>
      </c>
      <c r="K855" s="2" t="s">
        <v>802</v>
      </c>
      <c r="L855" s="3">
        <v>0.38194444444444442</v>
      </c>
      <c r="M855" s="2" t="s">
        <v>933</v>
      </c>
      <c r="N855" s="2" t="s">
        <v>500</v>
      </c>
      <c r="O855" s="2"/>
    </row>
    <row r="856" spans="1:15" x14ac:dyDescent="0.25">
      <c r="A856" s="2" t="s">
        <v>15</v>
      </c>
      <c r="B856" s="2" t="str">
        <f>"FES1162768863"</f>
        <v>FES1162768863</v>
      </c>
      <c r="C856" s="2" t="s">
        <v>698</v>
      </c>
      <c r="D856" s="2">
        <v>1</v>
      </c>
      <c r="E856" s="2" t="str">
        <f>"2170754224"</f>
        <v>2170754224</v>
      </c>
      <c r="F856" s="2" t="s">
        <v>17</v>
      </c>
      <c r="G856" s="2" t="s">
        <v>18</v>
      </c>
      <c r="H856" s="2" t="s">
        <v>36</v>
      </c>
      <c r="I856" s="2" t="s">
        <v>37</v>
      </c>
      <c r="J856" s="2" t="s">
        <v>303</v>
      </c>
      <c r="K856" s="2" t="s">
        <v>802</v>
      </c>
      <c r="L856" s="3">
        <v>0.34722222222222227</v>
      </c>
      <c r="M856" s="2" t="s">
        <v>307</v>
      </c>
      <c r="N856" s="2" t="s">
        <v>500</v>
      </c>
      <c r="O856" s="2"/>
    </row>
    <row r="857" spans="1:15" x14ac:dyDescent="0.25">
      <c r="A857" s="2" t="s">
        <v>15</v>
      </c>
      <c r="B857" s="2" t="str">
        <f>"FES1162768594"</f>
        <v>FES1162768594</v>
      </c>
      <c r="C857" s="2" t="s">
        <v>698</v>
      </c>
      <c r="D857" s="2">
        <v>1</v>
      </c>
      <c r="E857" s="2" t="str">
        <f>"2170754111"</f>
        <v>2170754111</v>
      </c>
      <c r="F857" s="2" t="s">
        <v>17</v>
      </c>
      <c r="G857" s="2" t="s">
        <v>18</v>
      </c>
      <c r="H857" s="2" t="s">
        <v>25</v>
      </c>
      <c r="I857" s="2" t="s">
        <v>26</v>
      </c>
      <c r="J857" s="2" t="s">
        <v>100</v>
      </c>
      <c r="K857" s="2" t="s">
        <v>802</v>
      </c>
      <c r="L857" s="3">
        <v>0.36319444444444443</v>
      </c>
      <c r="M857" s="2" t="s">
        <v>935</v>
      </c>
      <c r="N857" s="2" t="s">
        <v>500</v>
      </c>
      <c r="O857" s="2"/>
    </row>
    <row r="858" spans="1:15" x14ac:dyDescent="0.25">
      <c r="A858" s="2" t="s">
        <v>15</v>
      </c>
      <c r="B858" s="2" t="str">
        <f>"FES1162768497"</f>
        <v>FES1162768497</v>
      </c>
      <c r="C858" s="2" t="s">
        <v>698</v>
      </c>
      <c r="D858" s="2">
        <v>1</v>
      </c>
      <c r="E858" s="2" t="str">
        <f>"2170755280"</f>
        <v>2170755280</v>
      </c>
      <c r="F858" s="2" t="s">
        <v>17</v>
      </c>
      <c r="G858" s="2" t="s">
        <v>18</v>
      </c>
      <c r="H858" s="2" t="s">
        <v>88</v>
      </c>
      <c r="I858" s="2" t="s">
        <v>437</v>
      </c>
      <c r="J858" s="2" t="s">
        <v>867</v>
      </c>
      <c r="K858" s="2" t="s">
        <v>802</v>
      </c>
      <c r="L858" s="3">
        <v>0.3972222222222222</v>
      </c>
      <c r="M858" s="2" t="s">
        <v>224</v>
      </c>
      <c r="N858" s="2" t="s">
        <v>500</v>
      </c>
      <c r="O858" s="2"/>
    </row>
    <row r="859" spans="1:15" x14ac:dyDescent="0.25">
      <c r="A859" s="2" t="s">
        <v>15</v>
      </c>
      <c r="B859" s="2" t="str">
        <f>"FES1162768592"</f>
        <v>FES1162768592</v>
      </c>
      <c r="C859" s="2" t="s">
        <v>698</v>
      </c>
      <c r="D859" s="2">
        <v>1</v>
      </c>
      <c r="E859" s="2" t="str">
        <f>"2170754082"</f>
        <v>2170754082</v>
      </c>
      <c r="F859" s="2" t="s">
        <v>17</v>
      </c>
      <c r="G859" s="2" t="s">
        <v>18</v>
      </c>
      <c r="H859" s="2" t="s">
        <v>25</v>
      </c>
      <c r="I859" s="2" t="s">
        <v>26</v>
      </c>
      <c r="J859" s="2" t="s">
        <v>27</v>
      </c>
      <c r="K859" s="2" t="s">
        <v>802</v>
      </c>
      <c r="L859" s="3">
        <v>0.41666666666666669</v>
      </c>
      <c r="M859" s="2" t="s">
        <v>171</v>
      </c>
      <c r="N859" s="2" t="s">
        <v>500</v>
      </c>
      <c r="O859" s="2"/>
    </row>
    <row r="860" spans="1:15" x14ac:dyDescent="0.25">
      <c r="A860" s="2" t="s">
        <v>15</v>
      </c>
      <c r="B860" s="2" t="str">
        <f>"FES1162768548"</f>
        <v>FES1162768548</v>
      </c>
      <c r="C860" s="2" t="s">
        <v>698</v>
      </c>
      <c r="D860" s="2">
        <v>1</v>
      </c>
      <c r="E860" s="2" t="str">
        <f>"2170755342"</f>
        <v>2170755342</v>
      </c>
      <c r="F860" s="2" t="s">
        <v>17</v>
      </c>
      <c r="G860" s="2" t="s">
        <v>18</v>
      </c>
      <c r="H860" s="2" t="s">
        <v>36</v>
      </c>
      <c r="I860" s="2" t="s">
        <v>37</v>
      </c>
      <c r="J860" s="2" t="s">
        <v>272</v>
      </c>
      <c r="K860" s="2" t="s">
        <v>802</v>
      </c>
      <c r="L860" s="3">
        <v>0.38194444444444442</v>
      </c>
      <c r="M860" s="2" t="s">
        <v>538</v>
      </c>
      <c r="N860" s="2" t="s">
        <v>500</v>
      </c>
      <c r="O860" s="2"/>
    </row>
    <row r="861" spans="1:15" x14ac:dyDescent="0.25">
      <c r="A861" s="2" t="s">
        <v>15</v>
      </c>
      <c r="B861" s="2" t="str">
        <f>"FES1162768923"</f>
        <v>FES1162768923</v>
      </c>
      <c r="C861" s="2" t="s">
        <v>698</v>
      </c>
      <c r="D861" s="2">
        <v>1</v>
      </c>
      <c r="E861" s="2" t="str">
        <f>"2170756502"</f>
        <v>2170756502</v>
      </c>
      <c r="F861" s="2" t="s">
        <v>17</v>
      </c>
      <c r="G861" s="2" t="s">
        <v>18</v>
      </c>
      <c r="H861" s="2" t="s">
        <v>36</v>
      </c>
      <c r="I861" s="2" t="s">
        <v>37</v>
      </c>
      <c r="J861" s="2" t="s">
        <v>272</v>
      </c>
      <c r="K861" s="2" t="s">
        <v>802</v>
      </c>
      <c r="L861" s="3">
        <v>0.38194444444444442</v>
      </c>
      <c r="M861" s="2" t="s">
        <v>538</v>
      </c>
      <c r="N861" s="2" t="s">
        <v>500</v>
      </c>
      <c r="O861" s="2"/>
    </row>
    <row r="862" spans="1:15" x14ac:dyDescent="0.25">
      <c r="A862" s="2" t="s">
        <v>15</v>
      </c>
      <c r="B862" s="2" t="str">
        <f>"FES1162768596"</f>
        <v>FES1162768596</v>
      </c>
      <c r="C862" s="2" t="s">
        <v>698</v>
      </c>
      <c r="D862" s="2">
        <v>1</v>
      </c>
      <c r="E862" s="2" t="str">
        <f>"2170754376"</f>
        <v>2170754376</v>
      </c>
      <c r="F862" s="2" t="s">
        <v>17</v>
      </c>
      <c r="G862" s="2" t="s">
        <v>18</v>
      </c>
      <c r="H862" s="2" t="s">
        <v>25</v>
      </c>
      <c r="I862" s="2" t="s">
        <v>26</v>
      </c>
      <c r="J862" s="2" t="s">
        <v>27</v>
      </c>
      <c r="K862" s="2" t="s">
        <v>802</v>
      </c>
      <c r="L862" s="3">
        <v>0.41805555555555557</v>
      </c>
      <c r="M862" s="2" t="s">
        <v>171</v>
      </c>
      <c r="N862" s="2" t="s">
        <v>500</v>
      </c>
      <c r="O862" s="2"/>
    </row>
    <row r="863" spans="1:15" x14ac:dyDescent="0.25">
      <c r="A863" s="2" t="s">
        <v>15</v>
      </c>
      <c r="B863" s="2" t="str">
        <f>"FES1162768595"</f>
        <v>FES1162768595</v>
      </c>
      <c r="C863" s="2" t="s">
        <v>698</v>
      </c>
      <c r="D863" s="2">
        <v>1</v>
      </c>
      <c r="E863" s="2" t="str">
        <f>"2170754366"</f>
        <v>2170754366</v>
      </c>
      <c r="F863" s="2" t="s">
        <v>17</v>
      </c>
      <c r="G863" s="2" t="s">
        <v>18</v>
      </c>
      <c r="H863" s="2" t="s">
        <v>25</v>
      </c>
      <c r="I863" s="2" t="s">
        <v>26</v>
      </c>
      <c r="J863" s="2" t="s">
        <v>27</v>
      </c>
      <c r="K863" s="2" t="s">
        <v>802</v>
      </c>
      <c r="L863" s="3">
        <v>0.41875000000000001</v>
      </c>
      <c r="M863" s="2" t="s">
        <v>171</v>
      </c>
      <c r="N863" s="2" t="s">
        <v>500</v>
      </c>
      <c r="O863" s="2"/>
    </row>
    <row r="864" spans="1:15" x14ac:dyDescent="0.25">
      <c r="A864" s="2" t="s">
        <v>15</v>
      </c>
      <c r="B864" s="2" t="str">
        <f>"FES1162768547"</f>
        <v>FES1162768547</v>
      </c>
      <c r="C864" s="2" t="s">
        <v>698</v>
      </c>
      <c r="D864" s="2">
        <v>1</v>
      </c>
      <c r="E864" s="2" t="str">
        <f>"2170756444"</f>
        <v>2170756444</v>
      </c>
      <c r="F864" s="2" t="s">
        <v>17</v>
      </c>
      <c r="G864" s="2" t="s">
        <v>18</v>
      </c>
      <c r="H864" s="2" t="s">
        <v>33</v>
      </c>
      <c r="I864" s="2" t="s">
        <v>34</v>
      </c>
      <c r="J864" s="2" t="s">
        <v>868</v>
      </c>
      <c r="K864" s="2" t="s">
        <v>802</v>
      </c>
      <c r="L864" s="3">
        <v>0.43333333333333335</v>
      </c>
      <c r="M864" s="2" t="s">
        <v>861</v>
      </c>
      <c r="N864" s="2" t="s">
        <v>500</v>
      </c>
      <c r="O864" s="2"/>
    </row>
    <row r="865" spans="1:15" x14ac:dyDescent="0.25">
      <c r="A865" s="2" t="s">
        <v>15</v>
      </c>
      <c r="B865" s="2" t="str">
        <f>"FES1162768512"</f>
        <v>FES1162768512</v>
      </c>
      <c r="C865" s="2" t="s">
        <v>698</v>
      </c>
      <c r="D865" s="2">
        <v>1</v>
      </c>
      <c r="E865" s="2" t="str">
        <f>"2170756368"</f>
        <v>2170756368</v>
      </c>
      <c r="F865" s="2" t="s">
        <v>17</v>
      </c>
      <c r="G865" s="2" t="s">
        <v>18</v>
      </c>
      <c r="H865" s="2" t="s">
        <v>25</v>
      </c>
      <c r="I865" s="2" t="s">
        <v>26</v>
      </c>
      <c r="J865" s="2" t="s">
        <v>27</v>
      </c>
      <c r="K865" s="2" t="s">
        <v>802</v>
      </c>
      <c r="L865" s="3">
        <v>0.41736111111111113</v>
      </c>
      <c r="M865" s="2" t="s">
        <v>171</v>
      </c>
      <c r="N865" s="2" t="s">
        <v>500</v>
      </c>
      <c r="O865" s="2"/>
    </row>
    <row r="866" spans="1:15" x14ac:dyDescent="0.25">
      <c r="A866" s="2" t="s">
        <v>15</v>
      </c>
      <c r="B866" s="2" t="str">
        <f>"FES1162768749"</f>
        <v>FES1162768749</v>
      </c>
      <c r="C866" s="2" t="s">
        <v>698</v>
      </c>
      <c r="D866" s="2">
        <v>1</v>
      </c>
      <c r="E866" s="2" t="str">
        <f>"2170756415"</f>
        <v>2170756415</v>
      </c>
      <c r="F866" s="2" t="s">
        <v>17</v>
      </c>
      <c r="G866" s="2" t="s">
        <v>18</v>
      </c>
      <c r="H866" s="2" t="s">
        <v>18</v>
      </c>
      <c r="I866" s="2" t="s">
        <v>57</v>
      </c>
      <c r="J866" s="2" t="s">
        <v>760</v>
      </c>
      <c r="K866" s="2" t="s">
        <v>802</v>
      </c>
      <c r="L866" s="3">
        <v>0.38750000000000001</v>
      </c>
      <c r="M866" s="2" t="s">
        <v>936</v>
      </c>
      <c r="N866" s="2" t="s">
        <v>500</v>
      </c>
      <c r="O866" s="2"/>
    </row>
    <row r="867" spans="1:15" x14ac:dyDescent="0.25">
      <c r="A867" s="2" t="s">
        <v>15</v>
      </c>
      <c r="B867" s="2" t="str">
        <f>"FES1162768767"</f>
        <v>FES1162768767</v>
      </c>
      <c r="C867" s="2" t="s">
        <v>698</v>
      </c>
      <c r="D867" s="2">
        <v>1</v>
      </c>
      <c r="E867" s="2" t="str">
        <f>"2170743710"</f>
        <v>2170743710</v>
      </c>
      <c r="F867" s="2" t="s">
        <v>205</v>
      </c>
      <c r="G867" s="2" t="s">
        <v>206</v>
      </c>
      <c r="H867" s="2" t="s">
        <v>36</v>
      </c>
      <c r="I867" s="2" t="s">
        <v>37</v>
      </c>
      <c r="J867" s="2" t="s">
        <v>869</v>
      </c>
      <c r="K867" s="2" t="s">
        <v>1008</v>
      </c>
      <c r="L867" s="3">
        <v>0.43402777777777773</v>
      </c>
      <c r="M867" s="2" t="s">
        <v>1051</v>
      </c>
      <c r="N867" s="2" t="s">
        <v>500</v>
      </c>
      <c r="O867" s="2"/>
    </row>
    <row r="868" spans="1:15" x14ac:dyDescent="0.25">
      <c r="A868" s="2" t="s">
        <v>15</v>
      </c>
      <c r="B868" s="2" t="str">
        <f>"FES1162768701"</f>
        <v>FES1162768701</v>
      </c>
      <c r="C868" s="2" t="s">
        <v>698</v>
      </c>
      <c r="D868" s="2">
        <v>1</v>
      </c>
      <c r="E868" s="2" t="str">
        <f>"2170756355"</f>
        <v>2170756355</v>
      </c>
      <c r="F868" s="2" t="s">
        <v>17</v>
      </c>
      <c r="G868" s="2" t="s">
        <v>18</v>
      </c>
      <c r="H868" s="2" t="s">
        <v>25</v>
      </c>
      <c r="I868" s="2" t="s">
        <v>26</v>
      </c>
      <c r="J868" s="2" t="s">
        <v>762</v>
      </c>
      <c r="K868" s="2" t="s">
        <v>802</v>
      </c>
      <c r="L868" s="3">
        <v>0.42986111111111108</v>
      </c>
      <c r="M868" s="2" t="s">
        <v>672</v>
      </c>
      <c r="N868" s="2" t="s">
        <v>500</v>
      </c>
      <c r="O868" s="2"/>
    </row>
    <row r="869" spans="1:15" x14ac:dyDescent="0.25">
      <c r="A869" s="2" t="s">
        <v>15</v>
      </c>
      <c r="B869" s="2" t="str">
        <f>"FES1162768835"</f>
        <v>FES1162768835</v>
      </c>
      <c r="C869" s="2" t="s">
        <v>698</v>
      </c>
      <c r="D869" s="2">
        <v>1</v>
      </c>
      <c r="E869" s="2" t="str">
        <f>"2170753938"</f>
        <v>2170753938</v>
      </c>
      <c r="F869" s="2" t="s">
        <v>17</v>
      </c>
      <c r="G869" s="2" t="s">
        <v>18</v>
      </c>
      <c r="H869" s="2" t="s">
        <v>25</v>
      </c>
      <c r="I869" s="2" t="s">
        <v>42</v>
      </c>
      <c r="J869" s="2" t="s">
        <v>43</v>
      </c>
      <c r="K869" s="2" t="s">
        <v>802</v>
      </c>
      <c r="L869" s="3">
        <v>0.54166666666666663</v>
      </c>
      <c r="M869" s="2" t="s">
        <v>937</v>
      </c>
      <c r="N869" s="2" t="s">
        <v>500</v>
      </c>
      <c r="O869" s="2"/>
    </row>
    <row r="870" spans="1:15" x14ac:dyDescent="0.25">
      <c r="A870" s="2" t="s">
        <v>15</v>
      </c>
      <c r="B870" s="2" t="str">
        <f>"FES1162768772"</f>
        <v>FES1162768772</v>
      </c>
      <c r="C870" s="2" t="s">
        <v>698</v>
      </c>
      <c r="D870" s="2">
        <v>1</v>
      </c>
      <c r="E870" s="2" t="str">
        <f>"2170751577"</f>
        <v>2170751577</v>
      </c>
      <c r="F870" s="2" t="s">
        <v>17</v>
      </c>
      <c r="G870" s="2" t="s">
        <v>18</v>
      </c>
      <c r="H870" s="2" t="s">
        <v>36</v>
      </c>
      <c r="I870" s="2" t="s">
        <v>37</v>
      </c>
      <c r="J870" s="2" t="s">
        <v>54</v>
      </c>
      <c r="K870" s="2" t="s">
        <v>802</v>
      </c>
      <c r="L870" s="3">
        <v>0.34930555555555554</v>
      </c>
      <c r="M870" s="2" t="s">
        <v>308</v>
      </c>
      <c r="N870" s="2" t="s">
        <v>500</v>
      </c>
      <c r="O870" s="2"/>
    </row>
    <row r="871" spans="1:15" x14ac:dyDescent="0.25">
      <c r="A871" s="2" t="s">
        <v>15</v>
      </c>
      <c r="B871" s="2" t="str">
        <f>"FES1162768853"</f>
        <v>FES1162768853</v>
      </c>
      <c r="C871" s="2" t="s">
        <v>698</v>
      </c>
      <c r="D871" s="2">
        <v>1</v>
      </c>
      <c r="E871" s="2" t="str">
        <f>"2170754181"</f>
        <v>2170754181</v>
      </c>
      <c r="F871" s="2" t="s">
        <v>17</v>
      </c>
      <c r="G871" s="2" t="s">
        <v>18</v>
      </c>
      <c r="H871" s="2" t="s">
        <v>88</v>
      </c>
      <c r="I871" s="2" t="s">
        <v>109</v>
      </c>
      <c r="J871" s="2" t="s">
        <v>155</v>
      </c>
      <c r="K871" s="2" t="s">
        <v>802</v>
      </c>
      <c r="L871" s="3">
        <v>0.375</v>
      </c>
      <c r="M871" s="2" t="s">
        <v>251</v>
      </c>
      <c r="N871" s="2" t="s">
        <v>500</v>
      </c>
      <c r="O871" s="2"/>
    </row>
    <row r="872" spans="1:15" x14ac:dyDescent="0.25">
      <c r="A872" s="2" t="s">
        <v>15</v>
      </c>
      <c r="B872" s="2" t="str">
        <f>"FES1162768523"</f>
        <v>FES1162768523</v>
      </c>
      <c r="C872" s="2" t="s">
        <v>698</v>
      </c>
      <c r="D872" s="2">
        <v>1</v>
      </c>
      <c r="E872" s="2" t="str">
        <f>"2170756409"</f>
        <v>2170756409</v>
      </c>
      <c r="F872" s="2" t="s">
        <v>17</v>
      </c>
      <c r="G872" s="2" t="s">
        <v>18</v>
      </c>
      <c r="H872" s="2" t="s">
        <v>25</v>
      </c>
      <c r="I872" s="2" t="s">
        <v>26</v>
      </c>
      <c r="J872" s="2" t="s">
        <v>75</v>
      </c>
      <c r="K872" s="2" t="s">
        <v>802</v>
      </c>
      <c r="L872" s="3">
        <v>0.35416666666666669</v>
      </c>
      <c r="M872" s="2" t="s">
        <v>196</v>
      </c>
      <c r="N872" s="2" t="s">
        <v>500</v>
      </c>
      <c r="O872" s="2"/>
    </row>
    <row r="873" spans="1:15" x14ac:dyDescent="0.25">
      <c r="A873" s="2" t="s">
        <v>15</v>
      </c>
      <c r="B873" s="2" t="str">
        <f>"FES1162768786"</f>
        <v>FES1162768786</v>
      </c>
      <c r="C873" s="2" t="s">
        <v>698</v>
      </c>
      <c r="D873" s="2">
        <v>1</v>
      </c>
      <c r="E873" s="2" t="str">
        <f>"2170754125"</f>
        <v>2170754125</v>
      </c>
      <c r="F873" s="2" t="s">
        <v>17</v>
      </c>
      <c r="G873" s="2" t="s">
        <v>18</v>
      </c>
      <c r="H873" s="2" t="s">
        <v>36</v>
      </c>
      <c r="I873" s="2" t="s">
        <v>37</v>
      </c>
      <c r="J873" s="2" t="s">
        <v>378</v>
      </c>
      <c r="K873" s="2" t="s">
        <v>802</v>
      </c>
      <c r="L873" s="3">
        <v>0.42708333333333331</v>
      </c>
      <c r="M873" s="2" t="s">
        <v>938</v>
      </c>
      <c r="N873" s="2" t="s">
        <v>500</v>
      </c>
      <c r="O873" s="2"/>
    </row>
    <row r="874" spans="1:15" x14ac:dyDescent="0.25">
      <c r="A874" s="2" t="s">
        <v>15</v>
      </c>
      <c r="B874" s="2" t="str">
        <f>"FES1162768528"</f>
        <v>FES1162768528</v>
      </c>
      <c r="C874" s="2" t="s">
        <v>698</v>
      </c>
      <c r="D874" s="2">
        <v>1</v>
      </c>
      <c r="E874" s="2" t="str">
        <f>"2170756418"</f>
        <v>2170756418</v>
      </c>
      <c r="F874" s="2" t="s">
        <v>17</v>
      </c>
      <c r="G874" s="2" t="s">
        <v>18</v>
      </c>
      <c r="H874" s="2" t="s">
        <v>25</v>
      </c>
      <c r="I874" s="2" t="s">
        <v>26</v>
      </c>
      <c r="J874" s="2" t="s">
        <v>100</v>
      </c>
      <c r="K874" s="2" t="s">
        <v>802</v>
      </c>
      <c r="L874" s="3">
        <v>0.36319444444444443</v>
      </c>
      <c r="M874" s="2" t="s">
        <v>935</v>
      </c>
      <c r="N874" s="2" t="s">
        <v>500</v>
      </c>
      <c r="O874" s="2"/>
    </row>
    <row r="875" spans="1:15" x14ac:dyDescent="0.25">
      <c r="A875" s="2" t="s">
        <v>15</v>
      </c>
      <c r="B875" s="2" t="str">
        <f>"FES1162768607"</f>
        <v>FES1162768607</v>
      </c>
      <c r="C875" s="2" t="s">
        <v>698</v>
      </c>
      <c r="D875" s="2">
        <v>1</v>
      </c>
      <c r="E875" s="2" t="str">
        <f>"2170755630"</f>
        <v>2170755630</v>
      </c>
      <c r="F875" s="2" t="s">
        <v>17</v>
      </c>
      <c r="G875" s="2" t="s">
        <v>18</v>
      </c>
      <c r="H875" s="2" t="s">
        <v>36</v>
      </c>
      <c r="I875" s="2" t="s">
        <v>37</v>
      </c>
      <c r="J875" s="2" t="s">
        <v>378</v>
      </c>
      <c r="K875" s="2" t="s">
        <v>802</v>
      </c>
      <c r="L875" s="3">
        <v>0.42708333333333331</v>
      </c>
      <c r="M875" s="2" t="s">
        <v>939</v>
      </c>
      <c r="N875" s="2" t="s">
        <v>500</v>
      </c>
      <c r="O875" s="2"/>
    </row>
    <row r="876" spans="1:15" x14ac:dyDescent="0.25">
      <c r="A876" s="2" t="s">
        <v>15</v>
      </c>
      <c r="B876" s="2" t="str">
        <f>"FES1162768653"</f>
        <v>FES1162768653</v>
      </c>
      <c r="C876" s="2" t="s">
        <v>698</v>
      </c>
      <c r="D876" s="2">
        <v>1</v>
      </c>
      <c r="E876" s="2" t="str">
        <f>"2170753579"</f>
        <v>2170753579</v>
      </c>
      <c r="F876" s="2" t="s">
        <v>17</v>
      </c>
      <c r="G876" s="2" t="s">
        <v>18</v>
      </c>
      <c r="H876" s="2" t="s">
        <v>36</v>
      </c>
      <c r="I876" s="2" t="s">
        <v>37</v>
      </c>
      <c r="J876" s="2" t="s">
        <v>104</v>
      </c>
      <c r="K876" s="2" t="s">
        <v>802</v>
      </c>
      <c r="L876" s="3">
        <v>0.33958333333333335</v>
      </c>
      <c r="M876" s="2" t="s">
        <v>870</v>
      </c>
      <c r="N876" s="2" t="s">
        <v>500</v>
      </c>
      <c r="O876" s="2"/>
    </row>
    <row r="877" spans="1:15" x14ac:dyDescent="0.25">
      <c r="A877" s="2" t="s">
        <v>15</v>
      </c>
      <c r="B877" s="2" t="str">
        <f>"FES1162768522"</f>
        <v>FES1162768522</v>
      </c>
      <c r="C877" s="2" t="s">
        <v>698</v>
      </c>
      <c r="D877" s="2">
        <v>1</v>
      </c>
      <c r="E877" s="2" t="str">
        <f>"2170756408"</f>
        <v>2170756408</v>
      </c>
      <c r="F877" s="2" t="s">
        <v>17</v>
      </c>
      <c r="G877" s="2" t="s">
        <v>18</v>
      </c>
      <c r="H877" s="2" t="s">
        <v>25</v>
      </c>
      <c r="I877" s="2" t="s">
        <v>26</v>
      </c>
      <c r="J877" s="2" t="s">
        <v>75</v>
      </c>
      <c r="K877" s="2" t="s">
        <v>802</v>
      </c>
      <c r="L877" s="3">
        <v>0.35416666666666669</v>
      </c>
      <c r="M877" s="2" t="s">
        <v>196</v>
      </c>
      <c r="N877" s="2" t="s">
        <v>500</v>
      </c>
      <c r="O877" s="2"/>
    </row>
    <row r="878" spans="1:15" x14ac:dyDescent="0.25">
      <c r="A878" s="2" t="s">
        <v>15</v>
      </c>
      <c r="B878" s="2" t="str">
        <f>"FES1162768577"</f>
        <v>FES1162768577</v>
      </c>
      <c r="C878" s="2" t="s">
        <v>698</v>
      </c>
      <c r="D878" s="2">
        <v>1</v>
      </c>
      <c r="E878" s="2" t="str">
        <f>"2170753997"</f>
        <v>2170753997</v>
      </c>
      <c r="F878" s="2" t="s">
        <v>17</v>
      </c>
      <c r="G878" s="2" t="s">
        <v>18</v>
      </c>
      <c r="H878" s="2" t="s">
        <v>18</v>
      </c>
      <c r="I878" s="2" t="s">
        <v>57</v>
      </c>
      <c r="J878" s="2" t="s">
        <v>871</v>
      </c>
      <c r="K878" s="2" t="s">
        <v>802</v>
      </c>
      <c r="L878" s="3">
        <v>0.32569444444444445</v>
      </c>
      <c r="M878" s="2" t="s">
        <v>940</v>
      </c>
      <c r="N878" s="2" t="s">
        <v>500</v>
      </c>
      <c r="O878" s="2"/>
    </row>
    <row r="879" spans="1:15" x14ac:dyDescent="0.25">
      <c r="A879" s="2" t="s">
        <v>15</v>
      </c>
      <c r="B879" s="2" t="str">
        <f>"FES1162768515"</f>
        <v>FES1162768515</v>
      </c>
      <c r="C879" s="2" t="s">
        <v>698</v>
      </c>
      <c r="D879" s="2">
        <v>1</v>
      </c>
      <c r="E879" s="2" t="str">
        <f>"2170756389"</f>
        <v>2170756389</v>
      </c>
      <c r="F879" s="2" t="s">
        <v>17</v>
      </c>
      <c r="G879" s="2" t="s">
        <v>18</v>
      </c>
      <c r="H879" s="2" t="s">
        <v>18</v>
      </c>
      <c r="I879" s="2" t="s">
        <v>46</v>
      </c>
      <c r="J879" s="2" t="s">
        <v>285</v>
      </c>
      <c r="K879" s="2" t="s">
        <v>802</v>
      </c>
      <c r="L879" s="3">
        <v>0.38263888888888892</v>
      </c>
      <c r="M879" s="2" t="s">
        <v>777</v>
      </c>
      <c r="N879" s="2" t="s">
        <v>500</v>
      </c>
      <c r="O879" s="2"/>
    </row>
    <row r="880" spans="1:15" x14ac:dyDescent="0.25">
      <c r="A880" s="2" t="s">
        <v>15</v>
      </c>
      <c r="B880" s="2" t="str">
        <f>"FES1162768503"</f>
        <v>FES1162768503</v>
      </c>
      <c r="C880" s="2" t="s">
        <v>698</v>
      </c>
      <c r="D880" s="2">
        <v>1</v>
      </c>
      <c r="E880" s="2" t="str">
        <f>"2170755918"</f>
        <v>2170755918</v>
      </c>
      <c r="F880" s="2" t="s">
        <v>17</v>
      </c>
      <c r="G880" s="2" t="s">
        <v>18</v>
      </c>
      <c r="H880" s="2" t="s">
        <v>25</v>
      </c>
      <c r="I880" s="2" t="s">
        <v>42</v>
      </c>
      <c r="J880" s="2" t="s">
        <v>416</v>
      </c>
      <c r="K880" s="2" t="s">
        <v>802</v>
      </c>
      <c r="L880" s="3">
        <v>0.52986111111111112</v>
      </c>
      <c r="M880" s="2" t="s">
        <v>517</v>
      </c>
      <c r="N880" s="2" t="s">
        <v>500</v>
      </c>
      <c r="O880" s="2"/>
    </row>
    <row r="881" spans="1:15" x14ac:dyDescent="0.25">
      <c r="A881" s="2" t="s">
        <v>15</v>
      </c>
      <c r="B881" s="2" t="str">
        <f>"FES1162768513"</f>
        <v>FES1162768513</v>
      </c>
      <c r="C881" s="2" t="s">
        <v>698</v>
      </c>
      <c r="D881" s="2">
        <v>1</v>
      </c>
      <c r="E881" s="2" t="str">
        <f>"2170756370"</f>
        <v>2170756370</v>
      </c>
      <c r="F881" s="2" t="s">
        <v>17</v>
      </c>
      <c r="G881" s="2" t="s">
        <v>18</v>
      </c>
      <c r="H881" s="2" t="s">
        <v>18</v>
      </c>
      <c r="I881" s="2" t="s">
        <v>95</v>
      </c>
      <c r="J881" s="2" t="s">
        <v>96</v>
      </c>
      <c r="K881" s="2" t="s">
        <v>802</v>
      </c>
      <c r="L881" s="3">
        <v>0.375</v>
      </c>
      <c r="M881" s="2" t="s">
        <v>548</v>
      </c>
      <c r="N881" s="2" t="s">
        <v>500</v>
      </c>
      <c r="O881" s="2"/>
    </row>
    <row r="882" spans="1:15" x14ac:dyDescent="0.25">
      <c r="A882" s="2" t="s">
        <v>15</v>
      </c>
      <c r="B882" s="2" t="str">
        <f>"FES1162768510"</f>
        <v>FES1162768510</v>
      </c>
      <c r="C882" s="2" t="s">
        <v>698</v>
      </c>
      <c r="D882" s="2">
        <v>1</v>
      </c>
      <c r="E882" s="2" t="str">
        <f>"2170756334"</f>
        <v>2170756334</v>
      </c>
      <c r="F882" s="2" t="s">
        <v>17</v>
      </c>
      <c r="G882" s="2" t="s">
        <v>18</v>
      </c>
      <c r="H882" s="2" t="s">
        <v>25</v>
      </c>
      <c r="I882" s="2" t="s">
        <v>345</v>
      </c>
      <c r="J882" s="2" t="s">
        <v>346</v>
      </c>
      <c r="K882" s="2" t="s">
        <v>1008</v>
      </c>
      <c r="L882" s="3">
        <v>0.4152777777777778</v>
      </c>
      <c r="M882" s="2" t="s">
        <v>544</v>
      </c>
      <c r="N882" s="2" t="s">
        <v>500</v>
      </c>
      <c r="O882" s="2"/>
    </row>
    <row r="883" spans="1:15" x14ac:dyDescent="0.25">
      <c r="A883" s="2" t="s">
        <v>15</v>
      </c>
      <c r="B883" s="2" t="str">
        <f>"FES1162768578"</f>
        <v>FES1162768578</v>
      </c>
      <c r="C883" s="2" t="s">
        <v>698</v>
      </c>
      <c r="D883" s="2">
        <v>1</v>
      </c>
      <c r="E883" s="2" t="str">
        <f>"2170754000"</f>
        <v>2170754000</v>
      </c>
      <c r="F883" s="2" t="s">
        <v>17</v>
      </c>
      <c r="G883" s="2" t="s">
        <v>18</v>
      </c>
      <c r="H883" s="2" t="s">
        <v>25</v>
      </c>
      <c r="I883" s="2" t="s">
        <v>42</v>
      </c>
      <c r="J883" s="2" t="s">
        <v>872</v>
      </c>
      <c r="K883" s="2" t="s">
        <v>802</v>
      </c>
      <c r="L883" s="3">
        <v>0.54166666666666663</v>
      </c>
      <c r="M883" s="2" t="s">
        <v>941</v>
      </c>
      <c r="N883" s="2" t="s">
        <v>500</v>
      </c>
      <c r="O883" s="2"/>
    </row>
    <row r="884" spans="1:15" x14ac:dyDescent="0.25">
      <c r="A884" s="2" t="s">
        <v>15</v>
      </c>
      <c r="B884" s="2" t="str">
        <f>"FES1162768520"</f>
        <v>FES1162768520</v>
      </c>
      <c r="C884" s="2" t="s">
        <v>698</v>
      </c>
      <c r="D884" s="2">
        <v>1</v>
      </c>
      <c r="E884" s="2" t="str">
        <f>"2170756406"</f>
        <v>2170756406</v>
      </c>
      <c r="F884" s="2" t="s">
        <v>17</v>
      </c>
      <c r="G884" s="2" t="s">
        <v>18</v>
      </c>
      <c r="H884" s="2" t="s">
        <v>25</v>
      </c>
      <c r="I884" s="2" t="s">
        <v>26</v>
      </c>
      <c r="J884" s="2" t="s">
        <v>75</v>
      </c>
      <c r="K884" s="2" t="s">
        <v>802</v>
      </c>
      <c r="L884" s="3">
        <v>0.35416666666666669</v>
      </c>
      <c r="M884" s="2" t="s">
        <v>196</v>
      </c>
      <c r="N884" s="2" t="s">
        <v>500</v>
      </c>
      <c r="O884" s="2"/>
    </row>
    <row r="885" spans="1:15" x14ac:dyDescent="0.25">
      <c r="A885" s="2" t="s">
        <v>15</v>
      </c>
      <c r="B885" s="2" t="str">
        <f>"FES1162768646"</f>
        <v>FES1162768646</v>
      </c>
      <c r="C885" s="2" t="s">
        <v>698</v>
      </c>
      <c r="D885" s="2">
        <v>1</v>
      </c>
      <c r="E885" s="2" t="str">
        <f>"2170753482"</f>
        <v>2170753482</v>
      </c>
      <c r="F885" s="2" t="s">
        <v>17</v>
      </c>
      <c r="G885" s="2" t="s">
        <v>18</v>
      </c>
      <c r="H885" s="2" t="s">
        <v>18</v>
      </c>
      <c r="I885" s="2" t="s">
        <v>52</v>
      </c>
      <c r="J885" s="2" t="s">
        <v>66</v>
      </c>
      <c r="K885" s="2" t="s">
        <v>802</v>
      </c>
      <c r="L885" s="3">
        <v>0.31805555555555554</v>
      </c>
      <c r="M885" s="2" t="s">
        <v>386</v>
      </c>
      <c r="N885" s="2" t="s">
        <v>500</v>
      </c>
      <c r="O885" s="2"/>
    </row>
    <row r="886" spans="1:15" x14ac:dyDescent="0.25">
      <c r="A886" s="2" t="s">
        <v>15</v>
      </c>
      <c r="B886" s="2" t="str">
        <f>"FES1162768531"</f>
        <v>FES1162768531</v>
      </c>
      <c r="C886" s="2" t="s">
        <v>698</v>
      </c>
      <c r="D886" s="2">
        <v>1</v>
      </c>
      <c r="E886" s="2" t="str">
        <f>"2170756427"</f>
        <v>2170756427</v>
      </c>
      <c r="F886" s="2" t="s">
        <v>17</v>
      </c>
      <c r="G886" s="2" t="s">
        <v>18</v>
      </c>
      <c r="H886" s="2" t="s">
        <v>18</v>
      </c>
      <c r="I886" s="2" t="s">
        <v>50</v>
      </c>
      <c r="J886" s="2" t="s">
        <v>51</v>
      </c>
      <c r="K886" s="2" t="s">
        <v>802</v>
      </c>
      <c r="L886" s="3">
        <v>0.4375</v>
      </c>
      <c r="M886" s="2" t="s">
        <v>942</v>
      </c>
      <c r="N886" s="2" t="s">
        <v>500</v>
      </c>
      <c r="O886" s="2"/>
    </row>
    <row r="887" spans="1:15" x14ac:dyDescent="0.25">
      <c r="A887" s="2" t="s">
        <v>15</v>
      </c>
      <c r="B887" s="2" t="str">
        <f>"FES1162768648"</f>
        <v>FES1162768648</v>
      </c>
      <c r="C887" s="2" t="s">
        <v>698</v>
      </c>
      <c r="D887" s="2">
        <v>1</v>
      </c>
      <c r="E887" s="2" t="str">
        <f>"2170753504"</f>
        <v>2170753504</v>
      </c>
      <c r="F887" s="2" t="s">
        <v>17</v>
      </c>
      <c r="G887" s="2" t="s">
        <v>18</v>
      </c>
      <c r="H887" s="2" t="s">
        <v>18</v>
      </c>
      <c r="I887" s="2" t="s">
        <v>82</v>
      </c>
      <c r="J887" s="2" t="s">
        <v>83</v>
      </c>
      <c r="K887" s="2" t="s">
        <v>802</v>
      </c>
      <c r="L887" s="3">
        <v>0.4375</v>
      </c>
      <c r="M887" s="2" t="s">
        <v>943</v>
      </c>
      <c r="N887" s="2" t="s">
        <v>500</v>
      </c>
      <c r="O887" s="2"/>
    </row>
    <row r="888" spans="1:15" x14ac:dyDescent="0.25">
      <c r="A888" s="2" t="s">
        <v>15</v>
      </c>
      <c r="B888" s="2" t="str">
        <f>"FES1162768644"</f>
        <v>FES1162768644</v>
      </c>
      <c r="C888" s="2" t="s">
        <v>698</v>
      </c>
      <c r="D888" s="2">
        <v>1</v>
      </c>
      <c r="E888" s="2" t="str">
        <f>"2170753472"</f>
        <v>2170753472</v>
      </c>
      <c r="F888" s="2" t="s">
        <v>17</v>
      </c>
      <c r="G888" s="2" t="s">
        <v>18</v>
      </c>
      <c r="H888" s="2" t="s">
        <v>18</v>
      </c>
      <c r="I888" s="2" t="s">
        <v>873</v>
      </c>
      <c r="J888" s="2" t="s">
        <v>874</v>
      </c>
      <c r="K888" s="2" t="s">
        <v>802</v>
      </c>
      <c r="L888" s="3">
        <v>0.4375</v>
      </c>
      <c r="M888" s="2" t="s">
        <v>944</v>
      </c>
      <c r="N888" s="2" t="s">
        <v>500</v>
      </c>
      <c r="O888" s="2"/>
    </row>
    <row r="889" spans="1:15" x14ac:dyDescent="0.25">
      <c r="A889" s="2" t="s">
        <v>15</v>
      </c>
      <c r="B889" s="2" t="str">
        <f>"FES1162768603"</f>
        <v>FES1162768603</v>
      </c>
      <c r="C889" s="2" t="s">
        <v>698</v>
      </c>
      <c r="D889" s="2">
        <v>1</v>
      </c>
      <c r="E889" s="2" t="str">
        <f>"2170755153"</f>
        <v>2170755153</v>
      </c>
      <c r="F889" s="2" t="s">
        <v>17</v>
      </c>
      <c r="G889" s="2" t="s">
        <v>18</v>
      </c>
      <c r="H889" s="2" t="s">
        <v>18</v>
      </c>
      <c r="I889" s="2" t="s">
        <v>48</v>
      </c>
      <c r="J889" s="2" t="s">
        <v>875</v>
      </c>
      <c r="K889" s="2" t="s">
        <v>802</v>
      </c>
      <c r="L889" s="3">
        <v>0.33333333333333331</v>
      </c>
      <c r="M889" s="2" t="s">
        <v>945</v>
      </c>
      <c r="N889" s="2" t="s">
        <v>500</v>
      </c>
      <c r="O889" s="2"/>
    </row>
    <row r="890" spans="1:15" x14ac:dyDescent="0.25">
      <c r="A890" s="2" t="s">
        <v>15</v>
      </c>
      <c r="B890" s="2" t="str">
        <f>"FES1162768850"</f>
        <v>FES1162768850</v>
      </c>
      <c r="C890" s="2" t="s">
        <v>698</v>
      </c>
      <c r="D890" s="2">
        <v>1</v>
      </c>
      <c r="E890" s="2" t="str">
        <f>"2170754164"</f>
        <v>2170754164</v>
      </c>
      <c r="F890" s="2" t="s">
        <v>17</v>
      </c>
      <c r="G890" s="2" t="s">
        <v>18</v>
      </c>
      <c r="H890" s="2" t="s">
        <v>18</v>
      </c>
      <c r="I890" s="2" t="s">
        <v>290</v>
      </c>
      <c r="J890" s="2" t="s">
        <v>420</v>
      </c>
      <c r="K890" s="2" t="s">
        <v>802</v>
      </c>
      <c r="L890" s="3">
        <v>0.33333333333333331</v>
      </c>
      <c r="M890" s="2" t="s">
        <v>523</v>
      </c>
      <c r="N890" s="2" t="s">
        <v>500</v>
      </c>
      <c r="O890" s="2"/>
    </row>
    <row r="891" spans="1:15" x14ac:dyDescent="0.25">
      <c r="A891" s="2" t="s">
        <v>15</v>
      </c>
      <c r="B891" s="2" t="str">
        <f>"FES1162768647"</f>
        <v>FES1162768647</v>
      </c>
      <c r="C891" s="2" t="s">
        <v>698</v>
      </c>
      <c r="D891" s="2">
        <v>1</v>
      </c>
      <c r="E891" s="2" t="str">
        <f>"2170753491"</f>
        <v>2170753491</v>
      </c>
      <c r="F891" s="2" t="s">
        <v>17</v>
      </c>
      <c r="G891" s="2" t="s">
        <v>18</v>
      </c>
      <c r="H891" s="2" t="s">
        <v>18</v>
      </c>
      <c r="I891" s="2" t="s">
        <v>46</v>
      </c>
      <c r="J891" s="2" t="s">
        <v>59</v>
      </c>
      <c r="K891" s="2" t="s">
        <v>802</v>
      </c>
      <c r="L891" s="3">
        <v>0.47916666666666669</v>
      </c>
      <c r="M891" s="2" t="s">
        <v>60</v>
      </c>
      <c r="N891" s="2" t="s">
        <v>500</v>
      </c>
      <c r="O891" s="2"/>
    </row>
    <row r="892" spans="1:15" x14ac:dyDescent="0.25">
      <c r="A892" s="2" t="s">
        <v>15</v>
      </c>
      <c r="B892" s="2" t="str">
        <f>"FES1162768617"</f>
        <v>FES1162768617</v>
      </c>
      <c r="C892" s="2" t="s">
        <v>698</v>
      </c>
      <c r="D892" s="2">
        <v>1</v>
      </c>
      <c r="E892" s="2" t="str">
        <f>"2170756446"</f>
        <v>2170756446</v>
      </c>
      <c r="F892" s="2" t="s">
        <v>17</v>
      </c>
      <c r="G892" s="2" t="s">
        <v>18</v>
      </c>
      <c r="H892" s="2" t="s">
        <v>18</v>
      </c>
      <c r="I892" s="2" t="s">
        <v>57</v>
      </c>
      <c r="J892" s="2" t="s">
        <v>876</v>
      </c>
      <c r="K892" s="2" t="s">
        <v>802</v>
      </c>
      <c r="L892" s="3">
        <v>0.26597222222222222</v>
      </c>
      <c r="M892" s="2" t="s">
        <v>946</v>
      </c>
      <c r="N892" s="2" t="s">
        <v>500</v>
      </c>
      <c r="O892" s="2"/>
    </row>
    <row r="893" spans="1:15" x14ac:dyDescent="0.25">
      <c r="A893" s="2" t="s">
        <v>15</v>
      </c>
      <c r="B893" s="2" t="str">
        <f>"FES1162768593"</f>
        <v>FES1162768593</v>
      </c>
      <c r="C893" s="2" t="s">
        <v>698</v>
      </c>
      <c r="D893" s="2">
        <v>1</v>
      </c>
      <c r="E893" s="2" t="str">
        <f>"2170754089"</f>
        <v>2170754089</v>
      </c>
      <c r="F893" s="2" t="s">
        <v>17</v>
      </c>
      <c r="G893" s="2" t="s">
        <v>18</v>
      </c>
      <c r="H893" s="2" t="s">
        <v>18</v>
      </c>
      <c r="I893" s="2" t="s">
        <v>65</v>
      </c>
      <c r="J893" s="2" t="s">
        <v>87</v>
      </c>
      <c r="K893" s="2" t="s">
        <v>802</v>
      </c>
      <c r="L893" s="3">
        <v>0.3263888888888889</v>
      </c>
      <c r="M893" s="2" t="s">
        <v>289</v>
      </c>
      <c r="N893" s="2" t="s">
        <v>500</v>
      </c>
      <c r="O893" s="2"/>
    </row>
    <row r="894" spans="1:15" x14ac:dyDescent="0.25">
      <c r="A894" s="2" t="s">
        <v>15</v>
      </c>
      <c r="B894" s="2" t="str">
        <f>"FES1162768544"</f>
        <v>FES1162768544</v>
      </c>
      <c r="C894" s="2" t="s">
        <v>698</v>
      </c>
      <c r="D894" s="2">
        <v>1</v>
      </c>
      <c r="E894" s="2" t="str">
        <f>"2170756439"</f>
        <v>2170756439</v>
      </c>
      <c r="F894" s="2" t="s">
        <v>17</v>
      </c>
      <c r="G894" s="2" t="s">
        <v>18</v>
      </c>
      <c r="H894" s="2" t="s">
        <v>18</v>
      </c>
      <c r="I894" s="2" t="s">
        <v>63</v>
      </c>
      <c r="J894" s="2" t="s">
        <v>877</v>
      </c>
      <c r="K894" s="2" t="s">
        <v>802</v>
      </c>
      <c r="L894" s="3">
        <v>0.39583333333333331</v>
      </c>
      <c r="M894" s="2" t="s">
        <v>947</v>
      </c>
      <c r="N894" s="2" t="s">
        <v>500</v>
      </c>
      <c r="O894" s="2"/>
    </row>
    <row r="895" spans="1:15" x14ac:dyDescent="0.25">
      <c r="A895" s="2" t="s">
        <v>15</v>
      </c>
      <c r="B895" s="2" t="str">
        <f>"FES1162768535"</f>
        <v>FES1162768535</v>
      </c>
      <c r="C895" s="2" t="s">
        <v>698</v>
      </c>
      <c r="D895" s="2">
        <v>1</v>
      </c>
      <c r="E895" s="2" t="str">
        <f>"2170756434"</f>
        <v>2170756434</v>
      </c>
      <c r="F895" s="2" t="s">
        <v>17</v>
      </c>
      <c r="G895" s="2" t="s">
        <v>18</v>
      </c>
      <c r="H895" s="2" t="s">
        <v>18</v>
      </c>
      <c r="I895" s="2" t="s">
        <v>46</v>
      </c>
      <c r="J895" s="2" t="s">
        <v>139</v>
      </c>
      <c r="K895" s="2" t="s">
        <v>802</v>
      </c>
      <c r="L895" s="3">
        <v>0.2951388888888889</v>
      </c>
      <c r="M895" s="2" t="s">
        <v>948</v>
      </c>
      <c r="N895" s="2" t="s">
        <v>500</v>
      </c>
      <c r="O895" s="2"/>
    </row>
    <row r="896" spans="1:15" x14ac:dyDescent="0.25">
      <c r="A896" s="2" t="s">
        <v>15</v>
      </c>
      <c r="B896" s="2" t="str">
        <f>"FES1162768610"</f>
        <v>FES1162768610</v>
      </c>
      <c r="C896" s="2" t="s">
        <v>698</v>
      </c>
      <c r="D896" s="2">
        <v>1</v>
      </c>
      <c r="E896" s="2" t="str">
        <f>"2170755982"</f>
        <v>2170755982</v>
      </c>
      <c r="F896" s="2" t="s">
        <v>17</v>
      </c>
      <c r="G896" s="2" t="s">
        <v>18</v>
      </c>
      <c r="H896" s="2" t="s">
        <v>25</v>
      </c>
      <c r="I896" s="2" t="s">
        <v>345</v>
      </c>
      <c r="J896" s="2" t="s">
        <v>412</v>
      </c>
      <c r="K896" s="2" t="s">
        <v>1008</v>
      </c>
      <c r="L896" s="3">
        <v>0.42499999999999999</v>
      </c>
      <c r="M896" s="2" t="s">
        <v>1052</v>
      </c>
      <c r="N896" s="2" t="s">
        <v>500</v>
      </c>
      <c r="O896" s="2"/>
    </row>
    <row r="897" spans="1:15" x14ac:dyDescent="0.25">
      <c r="A897" s="2" t="s">
        <v>15</v>
      </c>
      <c r="B897" s="2" t="str">
        <f>"FES1162768496"</f>
        <v>FES1162768496</v>
      </c>
      <c r="C897" s="2" t="s">
        <v>698</v>
      </c>
      <c r="D897" s="2">
        <v>1</v>
      </c>
      <c r="E897" s="2" t="str">
        <f>"2170755275"</f>
        <v>2170755275</v>
      </c>
      <c r="F897" s="2" t="s">
        <v>17</v>
      </c>
      <c r="G897" s="2" t="s">
        <v>18</v>
      </c>
      <c r="H897" s="2" t="s">
        <v>18</v>
      </c>
      <c r="I897" s="2" t="s">
        <v>46</v>
      </c>
      <c r="J897" s="2" t="s">
        <v>426</v>
      </c>
      <c r="K897" s="2" t="s">
        <v>802</v>
      </c>
      <c r="L897" s="3">
        <v>0.40625</v>
      </c>
      <c r="M897" s="2" t="s">
        <v>531</v>
      </c>
      <c r="N897" s="2" t="s">
        <v>500</v>
      </c>
      <c r="O897" s="2"/>
    </row>
    <row r="898" spans="1:15" x14ac:dyDescent="0.25">
      <c r="A898" s="2" t="s">
        <v>15</v>
      </c>
      <c r="B898" s="2" t="str">
        <f>"FES1162768517"</f>
        <v>FES1162768517</v>
      </c>
      <c r="C898" s="2" t="s">
        <v>698</v>
      </c>
      <c r="D898" s="2">
        <v>1</v>
      </c>
      <c r="E898" s="2" t="str">
        <f>"2170756402"</f>
        <v>2170756402</v>
      </c>
      <c r="F898" s="2" t="s">
        <v>17</v>
      </c>
      <c r="G898" s="2" t="s">
        <v>18</v>
      </c>
      <c r="H898" s="2" t="s">
        <v>25</v>
      </c>
      <c r="I898" s="2" t="s">
        <v>125</v>
      </c>
      <c r="J898" s="2" t="s">
        <v>126</v>
      </c>
      <c r="K898" s="2" t="s">
        <v>802</v>
      </c>
      <c r="L898" s="3">
        <v>0.48194444444444445</v>
      </c>
      <c r="M898" s="2" t="s">
        <v>949</v>
      </c>
      <c r="N898" s="2" t="s">
        <v>500</v>
      </c>
      <c r="O898" s="2"/>
    </row>
    <row r="899" spans="1:15" x14ac:dyDescent="0.25">
      <c r="A899" s="2" t="s">
        <v>15</v>
      </c>
      <c r="B899" s="2" t="str">
        <f>"FES1162768637"</f>
        <v>FES1162768637</v>
      </c>
      <c r="C899" s="2" t="s">
        <v>698</v>
      </c>
      <c r="D899" s="2">
        <v>1</v>
      </c>
      <c r="E899" s="2" t="str">
        <f>"2170753377"</f>
        <v>2170753377</v>
      </c>
      <c r="F899" s="2" t="s">
        <v>17</v>
      </c>
      <c r="G899" s="2" t="s">
        <v>18</v>
      </c>
      <c r="H899" s="2" t="s">
        <v>25</v>
      </c>
      <c r="I899" s="2" t="s">
        <v>26</v>
      </c>
      <c r="J899" s="2" t="s">
        <v>878</v>
      </c>
      <c r="K899" s="2" t="s">
        <v>802</v>
      </c>
      <c r="L899" s="3">
        <v>0.46249999999999997</v>
      </c>
      <c r="M899" s="2" t="s">
        <v>950</v>
      </c>
      <c r="N899" s="2" t="s">
        <v>500</v>
      </c>
      <c r="O899" s="2"/>
    </row>
    <row r="900" spans="1:15" x14ac:dyDescent="0.25">
      <c r="A900" s="2" t="s">
        <v>15</v>
      </c>
      <c r="B900" s="2" t="str">
        <f>"FES1162768728"</f>
        <v>FES1162768728</v>
      </c>
      <c r="C900" s="2" t="s">
        <v>698</v>
      </c>
      <c r="D900" s="2">
        <v>1</v>
      </c>
      <c r="E900" s="2" t="str">
        <f>"2170753773"</f>
        <v>2170753773</v>
      </c>
      <c r="F900" s="2" t="s">
        <v>17</v>
      </c>
      <c r="G900" s="2" t="s">
        <v>18</v>
      </c>
      <c r="H900" s="2" t="s">
        <v>18</v>
      </c>
      <c r="I900" s="2" t="s">
        <v>50</v>
      </c>
      <c r="J900" s="2" t="s">
        <v>879</v>
      </c>
      <c r="K900" s="2" t="s">
        <v>802</v>
      </c>
      <c r="L900" s="3">
        <v>0.37986111111111115</v>
      </c>
      <c r="M900" s="2" t="s">
        <v>951</v>
      </c>
      <c r="N900" s="2" t="s">
        <v>500</v>
      </c>
      <c r="O900" s="2"/>
    </row>
    <row r="901" spans="1:15" x14ac:dyDescent="0.25">
      <c r="A901" s="2" t="s">
        <v>15</v>
      </c>
      <c r="B901" s="2" t="str">
        <f>"FES1162768490"</f>
        <v>FES1162768490</v>
      </c>
      <c r="C901" s="2" t="s">
        <v>698</v>
      </c>
      <c r="D901" s="2">
        <v>1</v>
      </c>
      <c r="E901" s="2" t="str">
        <f>"2170754344"</f>
        <v>2170754344</v>
      </c>
      <c r="F901" s="2" t="s">
        <v>17</v>
      </c>
      <c r="G901" s="2" t="s">
        <v>18</v>
      </c>
      <c r="H901" s="2" t="s">
        <v>18</v>
      </c>
      <c r="I901" s="2" t="s">
        <v>46</v>
      </c>
      <c r="J901" s="2" t="s">
        <v>880</v>
      </c>
      <c r="K901" s="2" t="s">
        <v>802</v>
      </c>
      <c r="L901" s="3">
        <v>0.33333333333333331</v>
      </c>
      <c r="M901" s="2" t="s">
        <v>881</v>
      </c>
      <c r="N901" s="2" t="s">
        <v>500</v>
      </c>
      <c r="O901" s="2"/>
    </row>
    <row r="902" spans="1:15" x14ac:dyDescent="0.25">
      <c r="A902" s="2" t="s">
        <v>15</v>
      </c>
      <c r="B902" s="2" t="str">
        <f>"FES1162768696"</f>
        <v>FES1162768696</v>
      </c>
      <c r="C902" s="2" t="s">
        <v>698</v>
      </c>
      <c r="D902" s="2">
        <v>1</v>
      </c>
      <c r="E902" s="2" t="str">
        <f>"2170756148"</f>
        <v>2170756148</v>
      </c>
      <c r="F902" s="2" t="s">
        <v>17</v>
      </c>
      <c r="G902" s="2" t="s">
        <v>18</v>
      </c>
      <c r="H902" s="2" t="s">
        <v>18</v>
      </c>
      <c r="I902" s="2" t="s">
        <v>57</v>
      </c>
      <c r="J902" s="2" t="s">
        <v>475</v>
      </c>
      <c r="K902" s="2" t="s">
        <v>802</v>
      </c>
      <c r="L902" s="3">
        <v>0.31319444444444444</v>
      </c>
      <c r="M902" s="2" t="s">
        <v>952</v>
      </c>
      <c r="N902" s="2" t="s">
        <v>500</v>
      </c>
      <c r="O902" s="2"/>
    </row>
    <row r="903" spans="1:15" x14ac:dyDescent="0.25">
      <c r="A903" s="2" t="s">
        <v>15</v>
      </c>
      <c r="B903" s="2" t="str">
        <f>"FES1162768633"</f>
        <v>FES1162768633</v>
      </c>
      <c r="C903" s="2" t="s">
        <v>698</v>
      </c>
      <c r="D903" s="2">
        <v>1</v>
      </c>
      <c r="E903" s="2" t="str">
        <f>"2170753266"</f>
        <v>2170753266</v>
      </c>
      <c r="F903" s="2" t="s">
        <v>17</v>
      </c>
      <c r="G903" s="2" t="s">
        <v>18</v>
      </c>
      <c r="H903" s="2" t="s">
        <v>36</v>
      </c>
      <c r="I903" s="2" t="s">
        <v>37</v>
      </c>
      <c r="J903" s="2" t="s">
        <v>162</v>
      </c>
      <c r="K903" s="2" t="s">
        <v>802</v>
      </c>
      <c r="L903" s="3">
        <v>0.34027777777777773</v>
      </c>
      <c r="M903" s="2" t="s">
        <v>268</v>
      </c>
      <c r="N903" s="2" t="s">
        <v>500</v>
      </c>
      <c r="O903" s="2"/>
    </row>
    <row r="904" spans="1:15" x14ac:dyDescent="0.25">
      <c r="A904" s="2" t="s">
        <v>15</v>
      </c>
      <c r="B904" s="2" t="str">
        <f>"FES1162768582"</f>
        <v>FES1162768582</v>
      </c>
      <c r="C904" s="2" t="s">
        <v>698</v>
      </c>
      <c r="D904" s="2">
        <v>1</v>
      </c>
      <c r="E904" s="2" t="str">
        <f>"2170754031"</f>
        <v>2170754031</v>
      </c>
      <c r="F904" s="2" t="s">
        <v>17</v>
      </c>
      <c r="G904" s="2" t="s">
        <v>18</v>
      </c>
      <c r="H904" s="2" t="s">
        <v>88</v>
      </c>
      <c r="I904" s="2" t="s">
        <v>89</v>
      </c>
      <c r="J904" s="2" t="s">
        <v>882</v>
      </c>
      <c r="K904" s="2" t="s">
        <v>802</v>
      </c>
      <c r="L904" s="3">
        <v>0.51111111111111118</v>
      </c>
      <c r="M904" s="2" t="s">
        <v>953</v>
      </c>
      <c r="N904" s="2" t="s">
        <v>500</v>
      </c>
      <c r="O904" s="2"/>
    </row>
    <row r="905" spans="1:15" x14ac:dyDescent="0.25">
      <c r="A905" s="2" t="s">
        <v>15</v>
      </c>
      <c r="B905" s="2" t="str">
        <f>"FES1162768721"</f>
        <v>FES1162768721</v>
      </c>
      <c r="C905" s="2" t="s">
        <v>698</v>
      </c>
      <c r="D905" s="2">
        <v>1</v>
      </c>
      <c r="E905" s="2" t="str">
        <f>"2170753697"</f>
        <v>2170753697</v>
      </c>
      <c r="F905" s="2" t="s">
        <v>17</v>
      </c>
      <c r="G905" s="2" t="s">
        <v>18</v>
      </c>
      <c r="H905" s="2" t="s">
        <v>88</v>
      </c>
      <c r="I905" s="2" t="s">
        <v>109</v>
      </c>
      <c r="J905" s="2" t="s">
        <v>275</v>
      </c>
      <c r="K905" s="2" t="s">
        <v>802</v>
      </c>
      <c r="L905" s="3">
        <v>0.4375</v>
      </c>
      <c r="M905" s="2" t="s">
        <v>839</v>
      </c>
      <c r="N905" s="2" t="s">
        <v>500</v>
      </c>
      <c r="O905" s="2"/>
    </row>
    <row r="906" spans="1:15" x14ac:dyDescent="0.25">
      <c r="A906" s="2" t="s">
        <v>15</v>
      </c>
      <c r="B906" s="2" t="str">
        <f>"FES1162768846"</f>
        <v>FES1162768846</v>
      </c>
      <c r="C906" s="2" t="s">
        <v>698</v>
      </c>
      <c r="D906" s="2">
        <v>1</v>
      </c>
      <c r="E906" s="2" t="str">
        <f>"2170754140"</f>
        <v>2170754140</v>
      </c>
      <c r="F906" s="2" t="s">
        <v>17</v>
      </c>
      <c r="G906" s="2" t="s">
        <v>18</v>
      </c>
      <c r="H906" s="2" t="s">
        <v>88</v>
      </c>
      <c r="I906" s="2" t="s">
        <v>109</v>
      </c>
      <c r="J906" s="2" t="s">
        <v>883</v>
      </c>
      <c r="K906" s="2" t="s">
        <v>802</v>
      </c>
      <c r="L906" s="3">
        <v>0.60277777777777775</v>
      </c>
      <c r="M906" s="2" t="s">
        <v>954</v>
      </c>
      <c r="N906" s="2" t="s">
        <v>500</v>
      </c>
      <c r="O906" s="2"/>
    </row>
    <row r="907" spans="1:15" x14ac:dyDescent="0.25">
      <c r="A907" s="2" t="s">
        <v>15</v>
      </c>
      <c r="B907" s="2" t="str">
        <f>"FES1162768826"</f>
        <v>FES1162768826</v>
      </c>
      <c r="C907" s="2" t="s">
        <v>698</v>
      </c>
      <c r="D907" s="2">
        <v>1</v>
      </c>
      <c r="E907" s="2" t="str">
        <f>"2170752905"</f>
        <v>2170752905</v>
      </c>
      <c r="F907" s="2" t="s">
        <v>17</v>
      </c>
      <c r="G907" s="2" t="s">
        <v>18</v>
      </c>
      <c r="H907" s="2" t="s">
        <v>18</v>
      </c>
      <c r="I907" s="2" t="s">
        <v>57</v>
      </c>
      <c r="J907" s="2" t="s">
        <v>92</v>
      </c>
      <c r="K907" s="2" t="s">
        <v>802</v>
      </c>
      <c r="L907" s="3">
        <v>0.29583333333333334</v>
      </c>
      <c r="M907" s="2" t="s">
        <v>693</v>
      </c>
      <c r="N907" s="2" t="s">
        <v>500</v>
      </c>
      <c r="O907" s="2"/>
    </row>
    <row r="908" spans="1:15" x14ac:dyDescent="0.25">
      <c r="A908" s="2" t="s">
        <v>15</v>
      </c>
      <c r="B908" s="2" t="str">
        <f>"FES1162768784"</f>
        <v>FES1162768784</v>
      </c>
      <c r="C908" s="2" t="s">
        <v>698</v>
      </c>
      <c r="D908" s="2">
        <v>1</v>
      </c>
      <c r="E908" s="2" t="str">
        <f>"2170754082"</f>
        <v>2170754082</v>
      </c>
      <c r="F908" s="2" t="s">
        <v>17</v>
      </c>
      <c r="G908" s="2" t="s">
        <v>18</v>
      </c>
      <c r="H908" s="2" t="s">
        <v>25</v>
      </c>
      <c r="I908" s="2" t="s">
        <v>26</v>
      </c>
      <c r="J908" s="2" t="s">
        <v>27</v>
      </c>
      <c r="K908" s="2" t="s">
        <v>802</v>
      </c>
      <c r="L908" s="3">
        <v>0.41736111111111113</v>
      </c>
      <c r="M908" s="2" t="s">
        <v>171</v>
      </c>
      <c r="N908" s="2" t="s">
        <v>500</v>
      </c>
      <c r="O908" s="2"/>
    </row>
    <row r="909" spans="1:15" x14ac:dyDescent="0.25">
      <c r="A909" s="2" t="s">
        <v>15</v>
      </c>
      <c r="B909" s="2" t="str">
        <f>"FES1162768645"</f>
        <v>FES1162768645</v>
      </c>
      <c r="C909" s="2" t="s">
        <v>698</v>
      </c>
      <c r="D909" s="2">
        <v>1</v>
      </c>
      <c r="E909" s="2" t="str">
        <f>"2170753480"</f>
        <v>2170753480</v>
      </c>
      <c r="F909" s="2" t="s">
        <v>17</v>
      </c>
      <c r="G909" s="2" t="s">
        <v>18</v>
      </c>
      <c r="H909" s="2" t="s">
        <v>18</v>
      </c>
      <c r="I909" s="2" t="s">
        <v>63</v>
      </c>
      <c r="J909" s="2" t="s">
        <v>884</v>
      </c>
      <c r="K909" s="2" t="s">
        <v>802</v>
      </c>
      <c r="L909" s="3">
        <v>0.44305555555555554</v>
      </c>
      <c r="M909" s="2" t="s">
        <v>955</v>
      </c>
      <c r="N909" s="2" t="s">
        <v>500</v>
      </c>
      <c r="O909" s="2"/>
    </row>
    <row r="910" spans="1:15" x14ac:dyDescent="0.25">
      <c r="A910" s="2" t="s">
        <v>15</v>
      </c>
      <c r="B910" s="2" t="str">
        <f>"FES1162768674"</f>
        <v>FES1162768674</v>
      </c>
      <c r="C910" s="2" t="s">
        <v>698</v>
      </c>
      <c r="D910" s="2">
        <v>1</v>
      </c>
      <c r="E910" s="2" t="str">
        <f>"2170754924"</f>
        <v>2170754924</v>
      </c>
      <c r="F910" s="2" t="s">
        <v>17</v>
      </c>
      <c r="G910" s="2" t="s">
        <v>18</v>
      </c>
      <c r="H910" s="2" t="s">
        <v>25</v>
      </c>
      <c r="I910" s="2" t="s">
        <v>26</v>
      </c>
      <c r="J910" s="2" t="s">
        <v>27</v>
      </c>
      <c r="K910" s="2" t="s">
        <v>802</v>
      </c>
      <c r="L910" s="3">
        <v>0.41805555555555557</v>
      </c>
      <c r="M910" s="2" t="s">
        <v>171</v>
      </c>
      <c r="N910" s="2" t="s">
        <v>500</v>
      </c>
      <c r="O910" s="2"/>
    </row>
    <row r="911" spans="1:15" x14ac:dyDescent="0.25">
      <c r="A911" s="2" t="s">
        <v>15</v>
      </c>
      <c r="B911" s="2" t="str">
        <f>"FES1162768678"</f>
        <v>FES1162768678</v>
      </c>
      <c r="C911" s="2" t="s">
        <v>698</v>
      </c>
      <c r="D911" s="2">
        <v>1</v>
      </c>
      <c r="E911" s="2" t="str">
        <f>"2170754986"</f>
        <v>2170754986</v>
      </c>
      <c r="F911" s="2" t="s">
        <v>17</v>
      </c>
      <c r="G911" s="2" t="s">
        <v>18</v>
      </c>
      <c r="H911" s="2" t="s">
        <v>25</v>
      </c>
      <c r="I911" s="2" t="s">
        <v>26</v>
      </c>
      <c r="J911" s="2" t="s">
        <v>885</v>
      </c>
      <c r="K911" s="2" t="s">
        <v>802</v>
      </c>
      <c r="L911" s="3">
        <v>0.36736111111111108</v>
      </c>
      <c r="M911" s="2" t="s">
        <v>221</v>
      </c>
      <c r="N911" s="2" t="s">
        <v>500</v>
      </c>
      <c r="O911" s="2"/>
    </row>
    <row r="912" spans="1:15" x14ac:dyDescent="0.25">
      <c r="A912" s="2" t="s">
        <v>15</v>
      </c>
      <c r="B912" s="2" t="str">
        <f>"FES1162768675"</f>
        <v>FES1162768675</v>
      </c>
      <c r="C912" s="2" t="s">
        <v>698</v>
      </c>
      <c r="D912" s="2">
        <v>1</v>
      </c>
      <c r="E912" s="2" t="str">
        <f>"2170754970"</f>
        <v>2170754970</v>
      </c>
      <c r="F912" s="2" t="s">
        <v>17</v>
      </c>
      <c r="G912" s="2" t="s">
        <v>18</v>
      </c>
      <c r="H912" s="2" t="s">
        <v>25</v>
      </c>
      <c r="I912" s="2" t="s">
        <v>42</v>
      </c>
      <c r="J912" s="2" t="s">
        <v>416</v>
      </c>
      <c r="K912" s="2" t="s">
        <v>802</v>
      </c>
      <c r="L912" s="3">
        <v>0.52986111111111112</v>
      </c>
      <c r="M912" s="2" t="s">
        <v>517</v>
      </c>
      <c r="N912" s="2" t="s">
        <v>500</v>
      </c>
      <c r="O912" s="2"/>
    </row>
    <row r="913" spans="1:15" x14ac:dyDescent="0.25">
      <c r="A913" s="2" t="s">
        <v>15</v>
      </c>
      <c r="B913" s="2" t="str">
        <f>"FES1162768657"</f>
        <v>FES1162768657</v>
      </c>
      <c r="C913" s="2" t="s">
        <v>698</v>
      </c>
      <c r="D913" s="2">
        <v>1</v>
      </c>
      <c r="E913" s="2" t="str">
        <f>"2170753755"</f>
        <v>2170753755</v>
      </c>
      <c r="F913" s="2" t="s">
        <v>17</v>
      </c>
      <c r="G913" s="2" t="s">
        <v>18</v>
      </c>
      <c r="H913" s="2" t="s">
        <v>25</v>
      </c>
      <c r="I913" s="2" t="s">
        <v>26</v>
      </c>
      <c r="J913" s="2" t="s">
        <v>886</v>
      </c>
      <c r="K913" s="2" t="s">
        <v>802</v>
      </c>
      <c r="L913" s="3">
        <v>0.42083333333333334</v>
      </c>
      <c r="M913" s="2" t="s">
        <v>956</v>
      </c>
      <c r="N913" s="2" t="s">
        <v>500</v>
      </c>
      <c r="O913" s="2"/>
    </row>
    <row r="914" spans="1:15" x14ac:dyDescent="0.25">
      <c r="A914" s="2" t="s">
        <v>15</v>
      </c>
      <c r="B914" s="2" t="str">
        <f>"FES1162768527"</f>
        <v>FES1162768527</v>
      </c>
      <c r="C914" s="2" t="s">
        <v>698</v>
      </c>
      <c r="D914" s="2">
        <v>1</v>
      </c>
      <c r="E914" s="2" t="str">
        <f>"2170756417"</f>
        <v>2170756417</v>
      </c>
      <c r="F914" s="2" t="s">
        <v>17</v>
      </c>
      <c r="G914" s="2" t="s">
        <v>18</v>
      </c>
      <c r="H914" s="2" t="s">
        <v>18</v>
      </c>
      <c r="I914" s="2" t="s">
        <v>50</v>
      </c>
      <c r="J914" s="2" t="s">
        <v>51</v>
      </c>
      <c r="K914" s="2" t="s">
        <v>802</v>
      </c>
      <c r="L914" s="3">
        <v>0.4375</v>
      </c>
      <c r="M914" s="2" t="s">
        <v>942</v>
      </c>
      <c r="N914" s="2" t="s">
        <v>500</v>
      </c>
      <c r="O914" s="2"/>
    </row>
    <row r="915" spans="1:15" x14ac:dyDescent="0.25">
      <c r="A915" s="2" t="s">
        <v>15</v>
      </c>
      <c r="B915" s="2" t="str">
        <f>"FES1162768612"</f>
        <v>FES1162768612</v>
      </c>
      <c r="C915" s="2" t="s">
        <v>698</v>
      </c>
      <c r="D915" s="2">
        <v>1</v>
      </c>
      <c r="E915" s="2" t="str">
        <f>"2170756009"</f>
        <v>2170756009</v>
      </c>
      <c r="F915" s="2" t="s">
        <v>17</v>
      </c>
      <c r="G915" s="2" t="s">
        <v>18</v>
      </c>
      <c r="H915" s="2" t="s">
        <v>88</v>
      </c>
      <c r="I915" s="2" t="s">
        <v>109</v>
      </c>
      <c r="J915" s="2" t="s">
        <v>638</v>
      </c>
      <c r="K915" s="2" t="s">
        <v>802</v>
      </c>
      <c r="L915" s="3">
        <v>0.42083333333333334</v>
      </c>
      <c r="M915" s="2" t="s">
        <v>957</v>
      </c>
      <c r="N915" s="2" t="s">
        <v>500</v>
      </c>
      <c r="O915" s="2"/>
    </row>
    <row r="916" spans="1:15" x14ac:dyDescent="0.25">
      <c r="A916" s="2" t="s">
        <v>15</v>
      </c>
      <c r="B916" s="2" t="str">
        <f>"FES1162768889"</f>
        <v>FES1162768889</v>
      </c>
      <c r="C916" s="2" t="s">
        <v>698</v>
      </c>
      <c r="D916" s="2">
        <v>1</v>
      </c>
      <c r="E916" s="2" t="str">
        <f>"2170755882"</f>
        <v>2170755882</v>
      </c>
      <c r="F916" s="2" t="s">
        <v>17</v>
      </c>
      <c r="G916" s="2" t="s">
        <v>18</v>
      </c>
      <c r="H916" s="2" t="s">
        <v>78</v>
      </c>
      <c r="I916" s="2" t="s">
        <v>79</v>
      </c>
      <c r="J916" s="2" t="s">
        <v>80</v>
      </c>
      <c r="K916" s="2" t="s">
        <v>802</v>
      </c>
      <c r="L916" s="3">
        <v>0.41111111111111115</v>
      </c>
      <c r="M916" s="2" t="s">
        <v>199</v>
      </c>
      <c r="N916" s="2" t="s">
        <v>500</v>
      </c>
      <c r="O916" s="2"/>
    </row>
    <row r="917" spans="1:15" x14ac:dyDescent="0.25">
      <c r="A917" s="2" t="s">
        <v>15</v>
      </c>
      <c r="B917" s="2" t="str">
        <f>"FES1162768613"</f>
        <v>FES1162768613</v>
      </c>
      <c r="C917" s="2" t="s">
        <v>698</v>
      </c>
      <c r="D917" s="2">
        <v>1</v>
      </c>
      <c r="E917" s="2" t="str">
        <f>"2170756102"</f>
        <v>2170756102</v>
      </c>
      <c r="F917" s="2" t="s">
        <v>17</v>
      </c>
      <c r="G917" s="2" t="s">
        <v>18</v>
      </c>
      <c r="H917" s="2" t="s">
        <v>25</v>
      </c>
      <c r="I917" s="2" t="s">
        <v>42</v>
      </c>
      <c r="J917" s="2" t="s">
        <v>651</v>
      </c>
      <c r="K917" s="2" t="s">
        <v>802</v>
      </c>
      <c r="L917" s="3">
        <v>0.52430555555555558</v>
      </c>
      <c r="M917" s="2" t="s">
        <v>958</v>
      </c>
      <c r="N917" s="2" t="s">
        <v>500</v>
      </c>
      <c r="O917" s="2"/>
    </row>
    <row r="918" spans="1:15" x14ac:dyDescent="0.25">
      <c r="A918" s="2" t="s">
        <v>15</v>
      </c>
      <c r="B918" s="2" t="str">
        <f>"FES1162768501"</f>
        <v>FES1162768501</v>
      </c>
      <c r="C918" s="2" t="s">
        <v>698</v>
      </c>
      <c r="D918" s="2">
        <v>1</v>
      </c>
      <c r="E918" s="2" t="str">
        <f>"2170755479"</f>
        <v>2170755479</v>
      </c>
      <c r="F918" s="2" t="s">
        <v>17</v>
      </c>
      <c r="G918" s="2" t="s">
        <v>18</v>
      </c>
      <c r="H918" s="2" t="s">
        <v>18</v>
      </c>
      <c r="I918" s="2" t="s">
        <v>57</v>
      </c>
      <c r="J918" s="2" t="s">
        <v>103</v>
      </c>
      <c r="K918" s="2" t="s">
        <v>802</v>
      </c>
      <c r="L918" s="3">
        <v>0.27777777777777779</v>
      </c>
      <c r="M918" s="2" t="s">
        <v>220</v>
      </c>
      <c r="N918" s="2" t="s">
        <v>500</v>
      </c>
      <c r="O918" s="2"/>
    </row>
    <row r="919" spans="1:15" x14ac:dyDescent="0.25">
      <c r="A919" s="2" t="s">
        <v>15</v>
      </c>
      <c r="B919" s="2" t="str">
        <f>"FES1162768669"</f>
        <v>FES1162768669</v>
      </c>
      <c r="C919" s="2" t="s">
        <v>698</v>
      </c>
      <c r="D919" s="2">
        <v>1</v>
      </c>
      <c r="E919" s="2" t="str">
        <f>"2170754366"</f>
        <v>2170754366</v>
      </c>
      <c r="F919" s="2" t="s">
        <v>17</v>
      </c>
      <c r="G919" s="2" t="s">
        <v>18</v>
      </c>
      <c r="H919" s="2" t="s">
        <v>25</v>
      </c>
      <c r="I919" s="2" t="s">
        <v>26</v>
      </c>
      <c r="J919" s="2" t="s">
        <v>27</v>
      </c>
      <c r="K919" s="2" t="s">
        <v>802</v>
      </c>
      <c r="L919" s="3">
        <v>0.41666666666666669</v>
      </c>
      <c r="M919" s="2" t="s">
        <v>171</v>
      </c>
      <c r="N919" s="2" t="s">
        <v>500</v>
      </c>
      <c r="O919" s="2"/>
    </row>
    <row r="920" spans="1:15" x14ac:dyDescent="0.25">
      <c r="A920" s="2" t="s">
        <v>15</v>
      </c>
      <c r="B920" s="2" t="str">
        <f>"FES1162768779"</f>
        <v>FES1162768779</v>
      </c>
      <c r="C920" s="2" t="s">
        <v>698</v>
      </c>
      <c r="D920" s="2">
        <v>1</v>
      </c>
      <c r="E920" s="2" t="str">
        <f>"2170753005"</f>
        <v>2170753005</v>
      </c>
      <c r="F920" s="2" t="s">
        <v>17</v>
      </c>
      <c r="G920" s="2" t="s">
        <v>18</v>
      </c>
      <c r="H920" s="2" t="s">
        <v>25</v>
      </c>
      <c r="I920" s="2" t="s">
        <v>26</v>
      </c>
      <c r="J920" s="2" t="s">
        <v>27</v>
      </c>
      <c r="K920" s="2" t="s">
        <v>802</v>
      </c>
      <c r="L920" s="3">
        <v>0.41736111111111113</v>
      </c>
      <c r="M920" s="2" t="s">
        <v>171</v>
      </c>
      <c r="N920" s="2" t="s">
        <v>500</v>
      </c>
      <c r="O920" s="2"/>
    </row>
    <row r="921" spans="1:15" x14ac:dyDescent="0.25">
      <c r="A921" s="2" t="s">
        <v>15</v>
      </c>
      <c r="B921" s="2" t="str">
        <f>"FES1162768884"</f>
        <v>FES1162768884</v>
      </c>
      <c r="C921" s="2" t="s">
        <v>698</v>
      </c>
      <c r="D921" s="2">
        <v>1</v>
      </c>
      <c r="E921" s="2" t="str">
        <f>"2170754913"</f>
        <v>2170754913</v>
      </c>
      <c r="F921" s="2" t="s">
        <v>17</v>
      </c>
      <c r="G921" s="2" t="s">
        <v>18</v>
      </c>
      <c r="H921" s="2" t="s">
        <v>18</v>
      </c>
      <c r="I921" s="2" t="s">
        <v>163</v>
      </c>
      <c r="J921" s="2" t="s">
        <v>887</v>
      </c>
      <c r="K921" s="2" t="s">
        <v>1008</v>
      </c>
      <c r="L921" s="3">
        <v>0.3430555555555555</v>
      </c>
      <c r="M921" s="2" t="s">
        <v>933</v>
      </c>
      <c r="N921" s="2" t="s">
        <v>500</v>
      </c>
      <c r="O921" s="2"/>
    </row>
    <row r="922" spans="1:15" x14ac:dyDescent="0.25">
      <c r="A922" s="2" t="s">
        <v>15</v>
      </c>
      <c r="B922" s="2" t="str">
        <f>"FES1162768650"</f>
        <v>FES1162768650</v>
      </c>
      <c r="C922" s="2" t="s">
        <v>698</v>
      </c>
      <c r="D922" s="2">
        <v>1</v>
      </c>
      <c r="E922" s="2" t="str">
        <f>"2170753565"</f>
        <v>2170753565</v>
      </c>
      <c r="F922" s="2" t="s">
        <v>17</v>
      </c>
      <c r="G922" s="2" t="s">
        <v>18</v>
      </c>
      <c r="H922" s="2" t="s">
        <v>18</v>
      </c>
      <c r="I922" s="2" t="s">
        <v>63</v>
      </c>
      <c r="J922" s="2" t="s">
        <v>53</v>
      </c>
      <c r="K922" s="2" t="s">
        <v>802</v>
      </c>
      <c r="L922" s="3">
        <v>0.31458333333333333</v>
      </c>
      <c r="M922" s="2" t="s">
        <v>295</v>
      </c>
      <c r="N922" s="2" t="s">
        <v>500</v>
      </c>
      <c r="O922" s="2"/>
    </row>
    <row r="923" spans="1:15" x14ac:dyDescent="0.25">
      <c r="A923" s="2" t="s">
        <v>15</v>
      </c>
      <c r="B923" s="2" t="str">
        <f>"FES1162768723"</f>
        <v>FES1162768723</v>
      </c>
      <c r="C923" s="2" t="s">
        <v>698</v>
      </c>
      <c r="D923" s="2">
        <v>1</v>
      </c>
      <c r="E923" s="2" t="str">
        <f>"2170753703"</f>
        <v>2170753703</v>
      </c>
      <c r="F923" s="2" t="s">
        <v>17</v>
      </c>
      <c r="G923" s="2" t="s">
        <v>18</v>
      </c>
      <c r="H923" s="2" t="s">
        <v>88</v>
      </c>
      <c r="I923" s="2" t="s">
        <v>109</v>
      </c>
      <c r="J923" s="2" t="s">
        <v>275</v>
      </c>
      <c r="K923" s="2" t="s">
        <v>802</v>
      </c>
      <c r="L923" s="3">
        <v>0.4375</v>
      </c>
      <c r="M923" s="2" t="s">
        <v>839</v>
      </c>
      <c r="N923" s="2" t="s">
        <v>500</v>
      </c>
      <c r="O923" s="2"/>
    </row>
    <row r="924" spans="1:15" x14ac:dyDescent="0.25">
      <c r="A924" s="2" t="s">
        <v>15</v>
      </c>
      <c r="B924" s="2" t="str">
        <f>"FES1162768614"</f>
        <v>FES1162768614</v>
      </c>
      <c r="C924" s="2" t="s">
        <v>698</v>
      </c>
      <c r="D924" s="2">
        <v>1</v>
      </c>
      <c r="E924" s="2" t="str">
        <f>"2170756143"</f>
        <v>2170756143</v>
      </c>
      <c r="F924" s="2" t="s">
        <v>17</v>
      </c>
      <c r="G924" s="2" t="s">
        <v>18</v>
      </c>
      <c r="H924" s="2" t="s">
        <v>18</v>
      </c>
      <c r="I924" s="2" t="s">
        <v>290</v>
      </c>
      <c r="J924" s="2" t="s">
        <v>420</v>
      </c>
      <c r="K924" s="2" t="s">
        <v>802</v>
      </c>
      <c r="L924" s="3">
        <v>0.33333333333333331</v>
      </c>
      <c r="M924" s="2" t="s">
        <v>959</v>
      </c>
      <c r="N924" s="2" t="s">
        <v>500</v>
      </c>
      <c r="O924" s="2"/>
    </row>
    <row r="925" spans="1:15" x14ac:dyDescent="0.25">
      <c r="A925" s="2" t="s">
        <v>15</v>
      </c>
      <c r="B925" s="2" t="str">
        <f>"FES1162768568"</f>
        <v>FES1162768568</v>
      </c>
      <c r="C925" s="2" t="s">
        <v>698</v>
      </c>
      <c r="D925" s="2">
        <v>1</v>
      </c>
      <c r="E925" s="2" t="str">
        <f>"2170753913"</f>
        <v>2170753913</v>
      </c>
      <c r="F925" s="2" t="s">
        <v>17</v>
      </c>
      <c r="G925" s="2" t="s">
        <v>18</v>
      </c>
      <c r="H925" s="2" t="s">
        <v>18</v>
      </c>
      <c r="I925" s="2" t="s">
        <v>57</v>
      </c>
      <c r="J925" s="2" t="s">
        <v>888</v>
      </c>
      <c r="K925" s="2" t="s">
        <v>802</v>
      </c>
      <c r="L925" s="3">
        <v>0.26250000000000001</v>
      </c>
      <c r="M925" s="2" t="s">
        <v>350</v>
      </c>
      <c r="N925" s="2" t="s">
        <v>500</v>
      </c>
      <c r="O925" s="2"/>
    </row>
    <row r="926" spans="1:15" x14ac:dyDescent="0.25">
      <c r="A926" s="2" t="s">
        <v>15</v>
      </c>
      <c r="B926" s="2" t="str">
        <f>"FES1162768750"</f>
        <v>FES1162768750</v>
      </c>
      <c r="C926" s="2" t="s">
        <v>698</v>
      </c>
      <c r="D926" s="2">
        <v>1</v>
      </c>
      <c r="E926" s="2" t="str">
        <f>"2170756457"</f>
        <v>2170756457</v>
      </c>
      <c r="F926" s="2" t="s">
        <v>17</v>
      </c>
      <c r="G926" s="2" t="s">
        <v>18</v>
      </c>
      <c r="H926" s="2" t="s">
        <v>18</v>
      </c>
      <c r="I926" s="2" t="s">
        <v>46</v>
      </c>
      <c r="J926" s="2" t="s">
        <v>59</v>
      </c>
      <c r="K926" s="2" t="s">
        <v>802</v>
      </c>
      <c r="L926" s="3">
        <v>0.29166666666666669</v>
      </c>
      <c r="M926" s="2" t="s">
        <v>60</v>
      </c>
      <c r="N926" s="2" t="s">
        <v>500</v>
      </c>
      <c r="O926" s="2"/>
    </row>
    <row r="927" spans="1:15" x14ac:dyDescent="0.25">
      <c r="A927" s="2" t="s">
        <v>15</v>
      </c>
      <c r="B927" s="2" t="str">
        <f>"FES1162768480"</f>
        <v>FES1162768480</v>
      </c>
      <c r="C927" s="2" t="s">
        <v>698</v>
      </c>
      <c r="D927" s="2">
        <v>1</v>
      </c>
      <c r="E927" s="2" t="str">
        <f>"2170752540"</f>
        <v>2170752540</v>
      </c>
      <c r="F927" s="2" t="s">
        <v>17</v>
      </c>
      <c r="G927" s="2" t="s">
        <v>18</v>
      </c>
      <c r="H927" s="2" t="s">
        <v>25</v>
      </c>
      <c r="I927" s="2" t="s">
        <v>26</v>
      </c>
      <c r="J927" s="2" t="s">
        <v>75</v>
      </c>
      <c r="K927" s="2" t="s">
        <v>802</v>
      </c>
      <c r="L927" s="3">
        <v>0.35416666666666669</v>
      </c>
      <c r="M927" s="2" t="s">
        <v>196</v>
      </c>
      <c r="N927" s="2" t="s">
        <v>500</v>
      </c>
      <c r="O927" s="2"/>
    </row>
    <row r="928" spans="1:15" x14ac:dyDescent="0.25">
      <c r="A928" s="2" t="s">
        <v>15</v>
      </c>
      <c r="B928" s="2" t="str">
        <f>"FES1162768816"</f>
        <v>FES1162768816</v>
      </c>
      <c r="C928" s="2" t="s">
        <v>698</v>
      </c>
      <c r="D928" s="2">
        <v>1</v>
      </c>
      <c r="E928" s="2" t="str">
        <f>"2170756217"</f>
        <v>2170756217</v>
      </c>
      <c r="F928" s="2" t="s">
        <v>17</v>
      </c>
      <c r="G928" s="2" t="s">
        <v>18</v>
      </c>
      <c r="H928" s="2" t="s">
        <v>18</v>
      </c>
      <c r="I928" s="2" t="s">
        <v>116</v>
      </c>
      <c r="J928" s="2" t="s">
        <v>493</v>
      </c>
      <c r="K928" s="2" t="s">
        <v>802</v>
      </c>
      <c r="L928" s="3">
        <v>0.36874999999999997</v>
      </c>
      <c r="M928" s="2" t="s">
        <v>598</v>
      </c>
      <c r="N928" s="2" t="s">
        <v>500</v>
      </c>
      <c r="O928" s="2"/>
    </row>
    <row r="929" spans="1:15" x14ac:dyDescent="0.25">
      <c r="A929" s="2" t="s">
        <v>15</v>
      </c>
      <c r="B929" s="2" t="str">
        <f>"FES1162768705"</f>
        <v>FES1162768705</v>
      </c>
      <c r="C929" s="2" t="s">
        <v>698</v>
      </c>
      <c r="D929" s="2">
        <v>1</v>
      </c>
      <c r="E929" s="2" t="str">
        <f>"2170756452"</f>
        <v>2170756452</v>
      </c>
      <c r="F929" s="2" t="s">
        <v>17</v>
      </c>
      <c r="G929" s="2" t="s">
        <v>18</v>
      </c>
      <c r="H929" s="2" t="s">
        <v>18</v>
      </c>
      <c r="I929" s="2" t="s">
        <v>46</v>
      </c>
      <c r="J929" s="2" t="s">
        <v>124</v>
      </c>
      <c r="K929" s="2" t="s">
        <v>802</v>
      </c>
      <c r="L929" s="3">
        <v>0.43402777777777773</v>
      </c>
      <c r="M929" s="2" t="s">
        <v>234</v>
      </c>
      <c r="N929" s="2" t="s">
        <v>500</v>
      </c>
      <c r="O929" s="2"/>
    </row>
    <row r="930" spans="1:15" x14ac:dyDescent="0.25">
      <c r="A930" s="2" t="s">
        <v>15</v>
      </c>
      <c r="B930" s="2" t="str">
        <f>"FES1162768908"</f>
        <v>FES1162768908</v>
      </c>
      <c r="C930" s="2" t="s">
        <v>698</v>
      </c>
      <c r="D930" s="2">
        <v>1</v>
      </c>
      <c r="E930" s="2" t="str">
        <f>"2170754179"</f>
        <v>2170754179</v>
      </c>
      <c r="F930" s="2" t="s">
        <v>17</v>
      </c>
      <c r="G930" s="2" t="s">
        <v>18</v>
      </c>
      <c r="H930" s="2" t="s">
        <v>25</v>
      </c>
      <c r="I930" s="2" t="s">
        <v>26</v>
      </c>
      <c r="J930" s="2" t="s">
        <v>889</v>
      </c>
      <c r="K930" s="2" t="s">
        <v>802</v>
      </c>
      <c r="L930" s="3">
        <v>0.44722222222222219</v>
      </c>
      <c r="M930" s="2" t="s">
        <v>960</v>
      </c>
      <c r="N930" s="2" t="s">
        <v>500</v>
      </c>
      <c r="O930" s="2"/>
    </row>
    <row r="931" spans="1:15" x14ac:dyDescent="0.25">
      <c r="A931" s="2" t="s">
        <v>15</v>
      </c>
      <c r="B931" s="2" t="str">
        <f>"FES1162768619"</f>
        <v>FES1162768619</v>
      </c>
      <c r="C931" s="2" t="s">
        <v>698</v>
      </c>
      <c r="D931" s="2">
        <v>1</v>
      </c>
      <c r="E931" s="2" t="str">
        <f>"2170756449"</f>
        <v>2170756449</v>
      </c>
      <c r="F931" s="2" t="s">
        <v>17</v>
      </c>
      <c r="G931" s="2" t="s">
        <v>18</v>
      </c>
      <c r="H931" s="2" t="s">
        <v>25</v>
      </c>
      <c r="I931" s="2" t="s">
        <v>26</v>
      </c>
      <c r="J931" s="2" t="s">
        <v>474</v>
      </c>
      <c r="K931" s="2" t="s">
        <v>802</v>
      </c>
      <c r="L931" s="3">
        <v>0.41666666666666669</v>
      </c>
      <c r="M931" s="2" t="s">
        <v>583</v>
      </c>
      <c r="N931" s="2" t="s">
        <v>500</v>
      </c>
      <c r="O931" s="2"/>
    </row>
    <row r="932" spans="1:15" x14ac:dyDescent="0.25">
      <c r="A932" s="2" t="s">
        <v>15</v>
      </c>
      <c r="B932" s="2" t="str">
        <f>"FES1162768532"</f>
        <v>FES1162768532</v>
      </c>
      <c r="C932" s="2" t="s">
        <v>698</v>
      </c>
      <c r="D932" s="2">
        <v>1</v>
      </c>
      <c r="E932" s="2" t="str">
        <f>"2170756373"</f>
        <v>2170756373</v>
      </c>
      <c r="F932" s="2" t="s">
        <v>17</v>
      </c>
      <c r="G932" s="2" t="s">
        <v>18</v>
      </c>
      <c r="H932" s="2" t="s">
        <v>25</v>
      </c>
      <c r="I932" s="2" t="s">
        <v>26</v>
      </c>
      <c r="J932" s="2" t="s">
        <v>27</v>
      </c>
      <c r="K932" s="2" t="s">
        <v>802</v>
      </c>
      <c r="L932" s="3">
        <v>0.41736111111111113</v>
      </c>
      <c r="M932" s="2" t="s">
        <v>171</v>
      </c>
      <c r="N932" s="2" t="s">
        <v>500</v>
      </c>
      <c r="O932" s="2"/>
    </row>
    <row r="933" spans="1:15" x14ac:dyDescent="0.25">
      <c r="A933" s="2" t="s">
        <v>15</v>
      </c>
      <c r="B933" s="2" t="str">
        <f>"FES1162768484"</f>
        <v>FES1162768484</v>
      </c>
      <c r="C933" s="2" t="s">
        <v>698</v>
      </c>
      <c r="D933" s="2">
        <v>2</v>
      </c>
      <c r="E933" s="2" t="str">
        <f>"2170753660"</f>
        <v>2170753660</v>
      </c>
      <c r="F933" s="2" t="s">
        <v>17</v>
      </c>
      <c r="G933" s="2" t="s">
        <v>18</v>
      </c>
      <c r="H933" s="2" t="s">
        <v>88</v>
      </c>
      <c r="I933" s="2" t="s">
        <v>109</v>
      </c>
      <c r="J933" s="2" t="s">
        <v>890</v>
      </c>
      <c r="K933" s="2" t="s">
        <v>802</v>
      </c>
      <c r="L933" s="3">
        <v>0.38194444444444442</v>
      </c>
      <c r="M933" s="2" t="s">
        <v>744</v>
      </c>
      <c r="N933" s="2" t="s">
        <v>500</v>
      </c>
      <c r="O933" s="2"/>
    </row>
    <row r="934" spans="1:15" x14ac:dyDescent="0.25">
      <c r="A934" s="2" t="s">
        <v>15</v>
      </c>
      <c r="B934" s="2" t="str">
        <f>"FES1162768725"</f>
        <v>FES1162768725</v>
      </c>
      <c r="C934" s="2" t="s">
        <v>698</v>
      </c>
      <c r="D934" s="2">
        <v>1</v>
      </c>
      <c r="E934" s="2" t="str">
        <f>"2170753729"</f>
        <v>2170753729</v>
      </c>
      <c r="F934" s="2" t="s">
        <v>17</v>
      </c>
      <c r="G934" s="2" t="s">
        <v>18</v>
      </c>
      <c r="H934" s="2" t="s">
        <v>88</v>
      </c>
      <c r="I934" s="2" t="s">
        <v>109</v>
      </c>
      <c r="J934" s="2" t="s">
        <v>275</v>
      </c>
      <c r="K934" s="2" t="s">
        <v>802</v>
      </c>
      <c r="L934" s="3">
        <v>0.4375</v>
      </c>
      <c r="M934" s="2" t="s">
        <v>839</v>
      </c>
      <c r="N934" s="2" t="s">
        <v>500</v>
      </c>
      <c r="O934" s="2"/>
    </row>
    <row r="935" spans="1:15" x14ac:dyDescent="0.25">
      <c r="A935" s="2" t="s">
        <v>15</v>
      </c>
      <c r="B935" s="2" t="str">
        <f>"FES1162768625"</f>
        <v>FES1162768625</v>
      </c>
      <c r="C935" s="2" t="s">
        <v>698</v>
      </c>
      <c r="D935" s="2">
        <v>1</v>
      </c>
      <c r="E935" s="2" t="str">
        <f>"2170752075"</f>
        <v>2170752075</v>
      </c>
      <c r="F935" s="2" t="s">
        <v>17</v>
      </c>
      <c r="G935" s="2" t="s">
        <v>18</v>
      </c>
      <c r="H935" s="2" t="s">
        <v>88</v>
      </c>
      <c r="I935" s="2" t="s">
        <v>109</v>
      </c>
      <c r="J935" s="2" t="s">
        <v>891</v>
      </c>
      <c r="K935" s="2" t="s">
        <v>802</v>
      </c>
      <c r="L935" s="3">
        <v>0.40625</v>
      </c>
      <c r="M935" s="2" t="s">
        <v>961</v>
      </c>
      <c r="N935" s="2" t="s">
        <v>500</v>
      </c>
      <c r="O935" s="2"/>
    </row>
    <row r="936" spans="1:15" x14ac:dyDescent="0.25">
      <c r="A936" s="2" t="s">
        <v>15</v>
      </c>
      <c r="B936" s="2" t="str">
        <f>"FES1162768545"</f>
        <v>FES1162768545</v>
      </c>
      <c r="C936" s="2" t="s">
        <v>698</v>
      </c>
      <c r="D936" s="2">
        <v>2</v>
      </c>
      <c r="E936" s="2" t="str">
        <f>"2170756441"</f>
        <v>2170756441</v>
      </c>
      <c r="F936" s="2" t="s">
        <v>17</v>
      </c>
      <c r="G936" s="2" t="s">
        <v>18</v>
      </c>
      <c r="H936" s="2" t="s">
        <v>18</v>
      </c>
      <c r="I936" s="2" t="s">
        <v>157</v>
      </c>
      <c r="J936" s="2" t="s">
        <v>347</v>
      </c>
      <c r="K936" s="2" t="s">
        <v>802</v>
      </c>
      <c r="L936" s="3">
        <v>0.56736111111111109</v>
      </c>
      <c r="M936" s="2" t="s">
        <v>962</v>
      </c>
      <c r="N936" s="2" t="s">
        <v>500</v>
      </c>
      <c r="O936" s="2"/>
    </row>
    <row r="937" spans="1:15" x14ac:dyDescent="0.25">
      <c r="A937" s="2" t="s">
        <v>15</v>
      </c>
      <c r="B937" s="2" t="str">
        <f>"FES1162768656"</f>
        <v>FES1162768656</v>
      </c>
      <c r="C937" s="2" t="s">
        <v>698</v>
      </c>
      <c r="D937" s="2">
        <v>1</v>
      </c>
      <c r="E937" s="2" t="str">
        <f>"2170753716"</f>
        <v>2170753716</v>
      </c>
      <c r="F937" s="2" t="s">
        <v>17</v>
      </c>
      <c r="G937" s="2" t="s">
        <v>18</v>
      </c>
      <c r="H937" s="2" t="s">
        <v>36</v>
      </c>
      <c r="I937" s="2" t="s">
        <v>37</v>
      </c>
      <c r="J937" s="2" t="s">
        <v>892</v>
      </c>
      <c r="K937" s="2" t="s">
        <v>802</v>
      </c>
      <c r="L937" s="3">
        <v>0.42708333333333331</v>
      </c>
      <c r="M937" s="2" t="s">
        <v>963</v>
      </c>
      <c r="N937" s="2" t="s">
        <v>500</v>
      </c>
      <c r="O937" s="2"/>
    </row>
    <row r="938" spans="1:15" x14ac:dyDescent="0.25">
      <c r="A938" s="2" t="s">
        <v>15</v>
      </c>
      <c r="B938" s="2" t="str">
        <f>"FES1162768549"</f>
        <v>FES1162768549</v>
      </c>
      <c r="C938" s="2" t="s">
        <v>698</v>
      </c>
      <c r="D938" s="2">
        <v>1</v>
      </c>
      <c r="E938" s="2" t="str">
        <f>"2170752201"</f>
        <v>2170752201</v>
      </c>
      <c r="F938" s="2" t="s">
        <v>17</v>
      </c>
      <c r="G938" s="2" t="s">
        <v>18</v>
      </c>
      <c r="H938" s="2" t="s">
        <v>36</v>
      </c>
      <c r="I938" s="2" t="s">
        <v>37</v>
      </c>
      <c r="J938" s="2" t="s">
        <v>403</v>
      </c>
      <c r="K938" s="2" t="s">
        <v>802</v>
      </c>
      <c r="L938" s="3">
        <v>0.4284722222222222</v>
      </c>
      <c r="M938" s="2" t="s">
        <v>964</v>
      </c>
      <c r="N938" s="2" t="s">
        <v>500</v>
      </c>
      <c r="O938" s="2"/>
    </row>
    <row r="939" spans="1:15" x14ac:dyDescent="0.25">
      <c r="A939" s="5" t="s">
        <v>15</v>
      </c>
      <c r="B939" s="5" t="str">
        <f>"FES1162768626"</f>
        <v>FES1162768626</v>
      </c>
      <c r="C939" s="5" t="s">
        <v>698</v>
      </c>
      <c r="D939" s="5">
        <v>1</v>
      </c>
      <c r="E939" s="5" t="str">
        <f>"2170752650"</f>
        <v>2170752650</v>
      </c>
      <c r="F939" s="5" t="s">
        <v>17</v>
      </c>
      <c r="G939" s="5" t="s">
        <v>18</v>
      </c>
      <c r="H939" s="5" t="s">
        <v>18</v>
      </c>
      <c r="I939" s="5" t="s">
        <v>57</v>
      </c>
      <c r="J939" s="5" t="s">
        <v>432</v>
      </c>
      <c r="K939" s="5" t="s">
        <v>1190</v>
      </c>
      <c r="L939" s="9">
        <v>0.38125000000000003</v>
      </c>
      <c r="M939" s="5" t="s">
        <v>1328</v>
      </c>
      <c r="N939" s="5" t="s">
        <v>500</v>
      </c>
      <c r="O939" s="5" t="s">
        <v>1244</v>
      </c>
    </row>
    <row r="940" spans="1:15" x14ac:dyDescent="0.25">
      <c r="A940" s="5" t="s">
        <v>15</v>
      </c>
      <c r="B940" s="5" t="str">
        <f>"FES1162768807"</f>
        <v>FES1162768807</v>
      </c>
      <c r="C940" s="5" t="s">
        <v>698</v>
      </c>
      <c r="D940" s="5">
        <v>1</v>
      </c>
      <c r="E940" s="5" t="str">
        <f>"2170754911"</f>
        <v>2170754911</v>
      </c>
      <c r="F940" s="5" t="s">
        <v>17</v>
      </c>
      <c r="G940" s="5" t="s">
        <v>18</v>
      </c>
      <c r="H940" s="5" t="s">
        <v>25</v>
      </c>
      <c r="I940" s="5" t="s">
        <v>361</v>
      </c>
      <c r="J940" s="5" t="s">
        <v>893</v>
      </c>
      <c r="K940" s="5" t="s">
        <v>1084</v>
      </c>
      <c r="L940" s="9">
        <v>0.41666666666666669</v>
      </c>
      <c r="M940" s="5" t="s">
        <v>1243</v>
      </c>
      <c r="N940" s="5" t="s">
        <v>500</v>
      </c>
      <c r="O940" s="5"/>
    </row>
    <row r="941" spans="1:15" x14ac:dyDescent="0.25">
      <c r="A941" s="2" t="s">
        <v>15</v>
      </c>
      <c r="B941" s="2" t="str">
        <f>"FES1162768699"</f>
        <v>FES1162768699</v>
      </c>
      <c r="C941" s="2" t="s">
        <v>698</v>
      </c>
      <c r="D941" s="2">
        <v>1</v>
      </c>
      <c r="E941" s="2" t="str">
        <f>"2170756238"</f>
        <v>2170756238</v>
      </c>
      <c r="F941" s="2" t="s">
        <v>17</v>
      </c>
      <c r="G941" s="2" t="s">
        <v>18</v>
      </c>
      <c r="H941" s="2" t="s">
        <v>25</v>
      </c>
      <c r="I941" s="2" t="s">
        <v>125</v>
      </c>
      <c r="J941" s="2" t="s">
        <v>126</v>
      </c>
      <c r="K941" s="2" t="s">
        <v>802</v>
      </c>
      <c r="L941" s="3">
        <v>0.48194444444444445</v>
      </c>
      <c r="M941" s="2" t="s">
        <v>949</v>
      </c>
      <c r="N941" s="2" t="s">
        <v>500</v>
      </c>
      <c r="O941" s="2"/>
    </row>
    <row r="942" spans="1:15" x14ac:dyDescent="0.25">
      <c r="A942" s="2" t="s">
        <v>15</v>
      </c>
      <c r="B942" s="2" t="str">
        <f>"FES1162768855"</f>
        <v>FES1162768855</v>
      </c>
      <c r="C942" s="2" t="s">
        <v>698</v>
      </c>
      <c r="D942" s="2">
        <v>1</v>
      </c>
      <c r="E942" s="2" t="str">
        <f>"2170754195"</f>
        <v>2170754195</v>
      </c>
      <c r="F942" s="2" t="s">
        <v>17</v>
      </c>
      <c r="G942" s="2" t="s">
        <v>18</v>
      </c>
      <c r="H942" s="2" t="s">
        <v>88</v>
      </c>
      <c r="I942" s="2" t="s">
        <v>109</v>
      </c>
      <c r="J942" s="2" t="s">
        <v>894</v>
      </c>
      <c r="K942" s="2" t="s">
        <v>802</v>
      </c>
      <c r="L942" s="3">
        <v>0.39930555555555558</v>
      </c>
      <c r="M942" s="2" t="s">
        <v>965</v>
      </c>
      <c r="N942" s="2" t="s">
        <v>500</v>
      </c>
      <c r="O942" s="2"/>
    </row>
    <row r="943" spans="1:15" x14ac:dyDescent="0.25">
      <c r="A943" s="2" t="s">
        <v>15</v>
      </c>
      <c r="B943" s="2" t="str">
        <f>"FES1162768598"</f>
        <v>FES1162768598</v>
      </c>
      <c r="C943" s="2" t="s">
        <v>698</v>
      </c>
      <c r="D943" s="2">
        <v>1</v>
      </c>
      <c r="E943" s="2" t="str">
        <f>"2170754638"</f>
        <v>2170754638</v>
      </c>
      <c r="F943" s="2" t="s">
        <v>17</v>
      </c>
      <c r="G943" s="2" t="s">
        <v>18</v>
      </c>
      <c r="H943" s="2" t="s">
        <v>88</v>
      </c>
      <c r="I943" s="2" t="s">
        <v>109</v>
      </c>
      <c r="J943" s="2" t="s">
        <v>395</v>
      </c>
      <c r="K943" s="2" t="s">
        <v>802</v>
      </c>
      <c r="L943" s="3">
        <v>0.38541666666666669</v>
      </c>
      <c r="M943" s="2" t="s">
        <v>966</v>
      </c>
      <c r="N943" s="2" t="s">
        <v>500</v>
      </c>
      <c r="O943" s="2"/>
    </row>
    <row r="944" spans="1:15" x14ac:dyDescent="0.25">
      <c r="A944" s="2" t="s">
        <v>15</v>
      </c>
      <c r="B944" s="2" t="str">
        <f>"FES1162768789"</f>
        <v>FES1162768789</v>
      </c>
      <c r="C944" s="2" t="s">
        <v>698</v>
      </c>
      <c r="D944" s="2">
        <v>1</v>
      </c>
      <c r="E944" s="2" t="str">
        <f>"2170754336"</f>
        <v>2170754336</v>
      </c>
      <c r="F944" s="2" t="s">
        <v>17</v>
      </c>
      <c r="G944" s="2" t="s">
        <v>18</v>
      </c>
      <c r="H944" s="2" t="s">
        <v>36</v>
      </c>
      <c r="I944" s="2" t="s">
        <v>67</v>
      </c>
      <c r="J944" s="2" t="s">
        <v>650</v>
      </c>
      <c r="K944" s="2" t="s">
        <v>802</v>
      </c>
      <c r="L944" s="3">
        <v>0.42152777777777778</v>
      </c>
      <c r="M944" s="2" t="s">
        <v>310</v>
      </c>
      <c r="N944" s="2" t="s">
        <v>500</v>
      </c>
      <c r="O944" s="2"/>
    </row>
    <row r="945" spans="1:15" x14ac:dyDescent="0.25">
      <c r="A945" s="2" t="s">
        <v>15</v>
      </c>
      <c r="B945" s="2" t="str">
        <f>"FES1162768606"</f>
        <v>FES1162768606</v>
      </c>
      <c r="C945" s="2" t="s">
        <v>698</v>
      </c>
      <c r="D945" s="2">
        <v>1</v>
      </c>
      <c r="E945" s="2" t="str">
        <f>"2170755570"</f>
        <v>2170755570</v>
      </c>
      <c r="F945" s="2" t="s">
        <v>17</v>
      </c>
      <c r="G945" s="2" t="s">
        <v>18</v>
      </c>
      <c r="H945" s="2" t="s">
        <v>18</v>
      </c>
      <c r="I945" s="2" t="s">
        <v>157</v>
      </c>
      <c r="J945" s="2" t="s">
        <v>158</v>
      </c>
      <c r="K945" s="2" t="s">
        <v>802</v>
      </c>
      <c r="L945" s="3">
        <v>0.43055555555555558</v>
      </c>
      <c r="M945" s="2" t="s">
        <v>253</v>
      </c>
      <c r="N945" s="2" t="s">
        <v>500</v>
      </c>
      <c r="O945" s="2"/>
    </row>
    <row r="946" spans="1:15" x14ac:dyDescent="0.25">
      <c r="A946" s="2" t="s">
        <v>15</v>
      </c>
      <c r="B946" s="2" t="str">
        <f>"FES1162768698"</f>
        <v>FES1162768698</v>
      </c>
      <c r="C946" s="2" t="s">
        <v>698</v>
      </c>
      <c r="D946" s="2">
        <v>1</v>
      </c>
      <c r="E946" s="2" t="str">
        <f>"2170756207"</f>
        <v>2170756207</v>
      </c>
      <c r="F946" s="2" t="s">
        <v>17</v>
      </c>
      <c r="G946" s="2" t="s">
        <v>18</v>
      </c>
      <c r="H946" s="2" t="s">
        <v>18</v>
      </c>
      <c r="I946" s="2" t="s">
        <v>46</v>
      </c>
      <c r="J946" s="2" t="s">
        <v>895</v>
      </c>
      <c r="K946" s="2" t="s">
        <v>802</v>
      </c>
      <c r="L946" s="3">
        <v>0.42708333333333331</v>
      </c>
      <c r="M946" s="2" t="s">
        <v>967</v>
      </c>
      <c r="N946" s="2" t="s">
        <v>500</v>
      </c>
      <c r="O946" s="2"/>
    </row>
    <row r="947" spans="1:15" x14ac:dyDescent="0.25">
      <c r="A947" s="2" t="s">
        <v>15</v>
      </c>
      <c r="B947" s="2" t="str">
        <f>"FES1162768891"</f>
        <v>FES1162768891</v>
      </c>
      <c r="C947" s="2" t="s">
        <v>698</v>
      </c>
      <c r="D947" s="2">
        <v>1</v>
      </c>
      <c r="E947" s="2" t="str">
        <f>"2170756009"</f>
        <v>2170756009</v>
      </c>
      <c r="F947" s="2" t="s">
        <v>17</v>
      </c>
      <c r="G947" s="2" t="s">
        <v>18</v>
      </c>
      <c r="H947" s="2" t="s">
        <v>88</v>
      </c>
      <c r="I947" s="2" t="s">
        <v>109</v>
      </c>
      <c r="J947" s="2" t="s">
        <v>638</v>
      </c>
      <c r="K947" s="2" t="s">
        <v>802</v>
      </c>
      <c r="L947" s="3">
        <v>0.41666666666666669</v>
      </c>
      <c r="M947" s="2" t="s">
        <v>957</v>
      </c>
      <c r="N947" s="2" t="s">
        <v>500</v>
      </c>
      <c r="O947" s="2"/>
    </row>
    <row r="948" spans="1:15" x14ac:dyDescent="0.25">
      <c r="A948" s="2" t="s">
        <v>15</v>
      </c>
      <c r="B948" s="2" t="str">
        <f>"FES1162768668"</f>
        <v>FES1162768668</v>
      </c>
      <c r="C948" s="2" t="s">
        <v>698</v>
      </c>
      <c r="D948" s="2">
        <v>1</v>
      </c>
      <c r="E948" s="2" t="str">
        <f>"2170754355"</f>
        <v>2170754355</v>
      </c>
      <c r="F948" s="2" t="s">
        <v>17</v>
      </c>
      <c r="G948" s="2" t="s">
        <v>18</v>
      </c>
      <c r="H948" s="2" t="s">
        <v>18</v>
      </c>
      <c r="I948" s="2" t="s">
        <v>63</v>
      </c>
      <c r="J948" s="2" t="s">
        <v>93</v>
      </c>
      <c r="K948" s="2" t="s">
        <v>802</v>
      </c>
      <c r="L948" s="3">
        <v>0.38750000000000001</v>
      </c>
      <c r="M948" s="2" t="s">
        <v>210</v>
      </c>
      <c r="N948" s="2" t="s">
        <v>500</v>
      </c>
      <c r="O948" s="2"/>
    </row>
    <row r="949" spans="1:15" x14ac:dyDescent="0.25">
      <c r="A949" s="2" t="s">
        <v>15</v>
      </c>
      <c r="B949" s="2" t="str">
        <f>"FES1162768766"</f>
        <v>FES1162768766</v>
      </c>
      <c r="C949" s="2" t="s">
        <v>698</v>
      </c>
      <c r="D949" s="2">
        <v>1</v>
      </c>
      <c r="E949" s="2" t="str">
        <f>"2170756471"</f>
        <v>2170756471</v>
      </c>
      <c r="F949" s="2" t="s">
        <v>17</v>
      </c>
      <c r="G949" s="2" t="s">
        <v>18</v>
      </c>
      <c r="H949" s="2" t="s">
        <v>88</v>
      </c>
      <c r="I949" s="2" t="s">
        <v>109</v>
      </c>
      <c r="J949" s="2" t="s">
        <v>110</v>
      </c>
      <c r="K949" s="2" t="s">
        <v>802</v>
      </c>
      <c r="L949" s="3">
        <v>0.3972222222222222</v>
      </c>
      <c r="M949" s="2" t="s">
        <v>224</v>
      </c>
      <c r="N949" s="2" t="s">
        <v>500</v>
      </c>
      <c r="O949" s="2"/>
    </row>
    <row r="950" spans="1:15" x14ac:dyDescent="0.25">
      <c r="A950" s="2" t="s">
        <v>15</v>
      </c>
      <c r="B950" s="2" t="str">
        <f>"FES1162768491"</f>
        <v>FES1162768491</v>
      </c>
      <c r="C950" s="2" t="s">
        <v>698</v>
      </c>
      <c r="D950" s="2">
        <v>1</v>
      </c>
      <c r="E950" s="2" t="str">
        <f>"2170754461"</f>
        <v>2170754461</v>
      </c>
      <c r="F950" s="2" t="s">
        <v>17</v>
      </c>
      <c r="G950" s="2" t="s">
        <v>18</v>
      </c>
      <c r="H950" s="2" t="s">
        <v>19</v>
      </c>
      <c r="I950" s="2" t="s">
        <v>20</v>
      </c>
      <c r="J950" s="2" t="s">
        <v>281</v>
      </c>
      <c r="K950" s="2" t="s">
        <v>802</v>
      </c>
      <c r="L950" s="3">
        <v>0.4368055555555555</v>
      </c>
      <c r="M950" s="2" t="s">
        <v>968</v>
      </c>
      <c r="N950" s="2" t="s">
        <v>500</v>
      </c>
      <c r="O950" s="2"/>
    </row>
    <row r="951" spans="1:15" x14ac:dyDescent="0.25">
      <c r="A951" s="2" t="s">
        <v>15</v>
      </c>
      <c r="B951" s="2" t="str">
        <f>"FES1162768589"</f>
        <v>FES1162768589</v>
      </c>
      <c r="C951" s="2" t="s">
        <v>698</v>
      </c>
      <c r="D951" s="2">
        <v>1</v>
      </c>
      <c r="E951" s="2" t="str">
        <f>"2170754075"</f>
        <v>2170754075</v>
      </c>
      <c r="F951" s="2" t="s">
        <v>17</v>
      </c>
      <c r="G951" s="2" t="s">
        <v>18</v>
      </c>
      <c r="H951" s="2" t="s">
        <v>88</v>
      </c>
      <c r="I951" s="2" t="s">
        <v>109</v>
      </c>
      <c r="J951" s="2" t="s">
        <v>66</v>
      </c>
      <c r="K951" s="2" t="s">
        <v>802</v>
      </c>
      <c r="L951" s="3">
        <v>0.44861111111111113</v>
      </c>
      <c r="M951" s="2" t="s">
        <v>969</v>
      </c>
      <c r="N951" s="2" t="s">
        <v>500</v>
      </c>
      <c r="O951" s="2"/>
    </row>
    <row r="952" spans="1:15" x14ac:dyDescent="0.25">
      <c r="A952" s="2" t="s">
        <v>15</v>
      </c>
      <c r="B952" s="2" t="str">
        <f>"FES1162768529"</f>
        <v>FES1162768529</v>
      </c>
      <c r="C952" s="2" t="s">
        <v>698</v>
      </c>
      <c r="D952" s="2">
        <v>1</v>
      </c>
      <c r="E952" s="2" t="str">
        <f>"2170756423"</f>
        <v>2170756423</v>
      </c>
      <c r="F952" s="2" t="s">
        <v>17</v>
      </c>
      <c r="G952" s="2" t="s">
        <v>18</v>
      </c>
      <c r="H952" s="2" t="s">
        <v>18</v>
      </c>
      <c r="I952" s="2" t="s">
        <v>46</v>
      </c>
      <c r="J952" s="2" t="s">
        <v>896</v>
      </c>
      <c r="K952" s="2" t="s">
        <v>802</v>
      </c>
      <c r="L952" s="3">
        <v>0.31944444444444448</v>
      </c>
      <c r="M952" s="2" t="s">
        <v>970</v>
      </c>
      <c r="N952" s="2" t="s">
        <v>500</v>
      </c>
      <c r="O952" s="2"/>
    </row>
    <row r="953" spans="1:15" x14ac:dyDescent="0.25">
      <c r="A953" s="2" t="s">
        <v>15</v>
      </c>
      <c r="B953" s="2" t="str">
        <f>"FES1162768676"</f>
        <v>FES1162768676</v>
      </c>
      <c r="C953" s="2" t="s">
        <v>698</v>
      </c>
      <c r="D953" s="2">
        <v>1</v>
      </c>
      <c r="E953" s="2" t="str">
        <f>"2170754974"</f>
        <v>2170754974</v>
      </c>
      <c r="F953" s="2" t="s">
        <v>17</v>
      </c>
      <c r="G953" s="2" t="s">
        <v>18</v>
      </c>
      <c r="H953" s="2" t="s">
        <v>18</v>
      </c>
      <c r="I953" s="2" t="s">
        <v>897</v>
      </c>
      <c r="J953" s="2" t="s">
        <v>71</v>
      </c>
      <c r="K953" s="2" t="s">
        <v>1008</v>
      </c>
      <c r="L953" s="3">
        <v>0.68888888888888899</v>
      </c>
      <c r="M953" s="2" t="s">
        <v>502</v>
      </c>
      <c r="N953" s="2" t="s">
        <v>500</v>
      </c>
      <c r="O953" s="2"/>
    </row>
    <row r="954" spans="1:15" x14ac:dyDescent="0.25">
      <c r="A954" s="2" t="s">
        <v>15</v>
      </c>
      <c r="B954" s="2" t="str">
        <f>"FES1162768700"</f>
        <v>FES1162768700</v>
      </c>
      <c r="C954" s="2" t="s">
        <v>698</v>
      </c>
      <c r="D954" s="2">
        <v>1</v>
      </c>
      <c r="E954" s="2" t="str">
        <f>"2170756265"</f>
        <v>2170756265</v>
      </c>
      <c r="F954" s="2" t="s">
        <v>17</v>
      </c>
      <c r="G954" s="2" t="s">
        <v>18</v>
      </c>
      <c r="H954" s="2" t="s">
        <v>18</v>
      </c>
      <c r="I954" s="2" t="s">
        <v>57</v>
      </c>
      <c r="J954" s="2" t="s">
        <v>92</v>
      </c>
      <c r="K954" s="2" t="s">
        <v>802</v>
      </c>
      <c r="L954" s="3">
        <v>0.29583333333333334</v>
      </c>
      <c r="M954" s="2" t="s">
        <v>693</v>
      </c>
      <c r="N954" s="2" t="s">
        <v>500</v>
      </c>
      <c r="O954" s="2"/>
    </row>
    <row r="955" spans="1:15" x14ac:dyDescent="0.25">
      <c r="A955" s="2" t="s">
        <v>15</v>
      </c>
      <c r="B955" s="2" t="str">
        <f>"FES1162768868"</f>
        <v>FES1162768868</v>
      </c>
      <c r="C955" s="2" t="s">
        <v>698</v>
      </c>
      <c r="D955" s="2">
        <v>1</v>
      </c>
      <c r="E955" s="2" t="str">
        <f>"2170754269"</f>
        <v>2170754269</v>
      </c>
      <c r="F955" s="2" t="s">
        <v>17</v>
      </c>
      <c r="G955" s="2" t="s">
        <v>18</v>
      </c>
      <c r="H955" s="2" t="s">
        <v>18</v>
      </c>
      <c r="I955" s="2" t="s">
        <v>157</v>
      </c>
      <c r="J955" s="2" t="s">
        <v>347</v>
      </c>
      <c r="K955" s="2" t="s">
        <v>802</v>
      </c>
      <c r="L955" s="3">
        <v>0.56805555555555554</v>
      </c>
      <c r="M955" s="2" t="s">
        <v>962</v>
      </c>
      <c r="N955" s="2" t="s">
        <v>500</v>
      </c>
      <c r="O955" s="2"/>
    </row>
    <row r="956" spans="1:15" x14ac:dyDescent="0.25">
      <c r="A956" s="2" t="s">
        <v>15</v>
      </c>
      <c r="B956" s="2" t="str">
        <f>"FES1162768590"</f>
        <v>FES1162768590</v>
      </c>
      <c r="C956" s="2" t="s">
        <v>698</v>
      </c>
      <c r="D956" s="2">
        <v>1</v>
      </c>
      <c r="E956" s="2" t="str">
        <f>"2170754076"</f>
        <v>2170754076</v>
      </c>
      <c r="F956" s="2" t="s">
        <v>17</v>
      </c>
      <c r="G956" s="2" t="s">
        <v>18</v>
      </c>
      <c r="H956" s="2" t="s">
        <v>88</v>
      </c>
      <c r="I956" s="2" t="s">
        <v>109</v>
      </c>
      <c r="J956" s="2" t="s">
        <v>66</v>
      </c>
      <c r="K956" s="2" t="s">
        <v>802</v>
      </c>
      <c r="L956" s="3">
        <v>0.44444444444444442</v>
      </c>
      <c r="M956" s="2" t="s">
        <v>969</v>
      </c>
      <c r="N956" s="2" t="s">
        <v>500</v>
      </c>
      <c r="O956" s="2"/>
    </row>
    <row r="957" spans="1:15" x14ac:dyDescent="0.25">
      <c r="A957" s="2" t="s">
        <v>15</v>
      </c>
      <c r="B957" s="2" t="str">
        <f>"FES1162768880"</f>
        <v>FES1162768880</v>
      </c>
      <c r="C957" s="2" t="s">
        <v>698</v>
      </c>
      <c r="D957" s="2">
        <v>1</v>
      </c>
      <c r="E957" s="2" t="str">
        <f>"2170754575"</f>
        <v>2170754575</v>
      </c>
      <c r="F957" s="2" t="s">
        <v>17</v>
      </c>
      <c r="G957" s="2" t="s">
        <v>18</v>
      </c>
      <c r="H957" s="2" t="s">
        <v>25</v>
      </c>
      <c r="I957" s="2" t="s">
        <v>26</v>
      </c>
      <c r="J957" s="2" t="s">
        <v>44</v>
      </c>
      <c r="K957" s="2" t="s">
        <v>802</v>
      </c>
      <c r="L957" s="3">
        <v>0.39097222222222222</v>
      </c>
      <c r="M957" s="2" t="s">
        <v>181</v>
      </c>
      <c r="N957" s="2" t="s">
        <v>500</v>
      </c>
      <c r="O957" s="2"/>
    </row>
    <row r="958" spans="1:15" x14ac:dyDescent="0.25">
      <c r="A958" s="2" t="s">
        <v>15</v>
      </c>
      <c r="B958" s="2" t="str">
        <f>"FES1162768810"</f>
        <v>FES1162768810</v>
      </c>
      <c r="C958" s="2" t="s">
        <v>698</v>
      </c>
      <c r="D958" s="2">
        <v>1</v>
      </c>
      <c r="E958" s="2" t="str">
        <f>"2170755636"</f>
        <v>2170755636</v>
      </c>
      <c r="F958" s="2" t="s">
        <v>17</v>
      </c>
      <c r="G958" s="2" t="s">
        <v>18</v>
      </c>
      <c r="H958" s="2" t="s">
        <v>18</v>
      </c>
      <c r="I958" s="2" t="s">
        <v>105</v>
      </c>
      <c r="J958" s="2" t="s">
        <v>309</v>
      </c>
      <c r="K958" s="2" t="s">
        <v>802</v>
      </c>
      <c r="L958" s="3">
        <v>0.4375</v>
      </c>
      <c r="M958" s="2" t="s">
        <v>559</v>
      </c>
      <c r="N958" s="2" t="s">
        <v>500</v>
      </c>
      <c r="O958" s="2"/>
    </row>
    <row r="959" spans="1:15" x14ac:dyDescent="0.25">
      <c r="A959" s="2" t="s">
        <v>15</v>
      </c>
      <c r="B959" s="2" t="str">
        <f>"FES1162768731"</f>
        <v>FES1162768731</v>
      </c>
      <c r="C959" s="2" t="s">
        <v>698</v>
      </c>
      <c r="D959" s="2">
        <v>1</v>
      </c>
      <c r="E959" s="2" t="str">
        <f>"2170753811"</f>
        <v>2170753811</v>
      </c>
      <c r="F959" s="2" t="s">
        <v>17</v>
      </c>
      <c r="G959" s="2" t="s">
        <v>18</v>
      </c>
      <c r="H959" s="2" t="s">
        <v>88</v>
      </c>
      <c r="I959" s="2" t="s">
        <v>109</v>
      </c>
      <c r="J959" s="2" t="s">
        <v>141</v>
      </c>
      <c r="K959" s="2" t="s">
        <v>802</v>
      </c>
      <c r="L959" s="3">
        <v>0.3833333333333333</v>
      </c>
      <c r="M959" s="2" t="s">
        <v>971</v>
      </c>
      <c r="N959" s="2" t="s">
        <v>500</v>
      </c>
      <c r="O959" s="2"/>
    </row>
    <row r="960" spans="1:15" x14ac:dyDescent="0.25">
      <c r="A960" s="2" t="s">
        <v>15</v>
      </c>
      <c r="B960" s="2" t="str">
        <f>"FES1162768616"</f>
        <v>FES1162768616</v>
      </c>
      <c r="C960" s="2" t="s">
        <v>698</v>
      </c>
      <c r="D960" s="2">
        <v>1</v>
      </c>
      <c r="E960" s="2" t="str">
        <f>"2170756419"</f>
        <v>2170756419</v>
      </c>
      <c r="F960" s="2" t="s">
        <v>17</v>
      </c>
      <c r="G960" s="2" t="s">
        <v>18</v>
      </c>
      <c r="H960" s="2" t="s">
        <v>88</v>
      </c>
      <c r="I960" s="2" t="s">
        <v>109</v>
      </c>
      <c r="J960" s="2" t="s">
        <v>766</v>
      </c>
      <c r="K960" s="2" t="s">
        <v>802</v>
      </c>
      <c r="L960" s="3">
        <v>0.39583333333333331</v>
      </c>
      <c r="M960" s="2" t="s">
        <v>563</v>
      </c>
      <c r="N960" s="2" t="s">
        <v>500</v>
      </c>
      <c r="O960" s="2"/>
    </row>
    <row r="961" spans="1:15" x14ac:dyDescent="0.25">
      <c r="A961" s="2" t="s">
        <v>15</v>
      </c>
      <c r="B961" s="2" t="str">
        <f>"FES1162768677"</f>
        <v>FES1162768677</v>
      </c>
      <c r="C961" s="2" t="s">
        <v>698</v>
      </c>
      <c r="D961" s="2">
        <v>1</v>
      </c>
      <c r="E961" s="2" t="str">
        <f>"2170754980"</f>
        <v>2170754980</v>
      </c>
      <c r="F961" s="2" t="s">
        <v>17</v>
      </c>
      <c r="G961" s="2" t="s">
        <v>18</v>
      </c>
      <c r="H961" s="2" t="s">
        <v>19</v>
      </c>
      <c r="I961" s="2" t="s">
        <v>20</v>
      </c>
      <c r="J961" s="2" t="s">
        <v>21</v>
      </c>
      <c r="K961" s="2" t="s">
        <v>802</v>
      </c>
      <c r="L961" s="3">
        <v>0.38125000000000003</v>
      </c>
      <c r="M961" s="2" t="s">
        <v>682</v>
      </c>
      <c r="N961" s="2" t="s">
        <v>500</v>
      </c>
      <c r="O961" s="2"/>
    </row>
    <row r="962" spans="1:15" x14ac:dyDescent="0.25">
      <c r="A962" s="2" t="s">
        <v>15</v>
      </c>
      <c r="B962" s="2" t="str">
        <f>"FES1162768608"</f>
        <v>FES1162768608</v>
      </c>
      <c r="C962" s="2" t="s">
        <v>698</v>
      </c>
      <c r="D962" s="2">
        <v>1</v>
      </c>
      <c r="E962" s="2" t="str">
        <f>"2170755756"</f>
        <v>2170755756</v>
      </c>
      <c r="F962" s="2" t="s">
        <v>17</v>
      </c>
      <c r="G962" s="2" t="s">
        <v>18</v>
      </c>
      <c r="H962" s="2" t="s">
        <v>88</v>
      </c>
      <c r="I962" s="2" t="s">
        <v>109</v>
      </c>
      <c r="J962" s="2" t="s">
        <v>890</v>
      </c>
      <c r="K962" s="2" t="s">
        <v>802</v>
      </c>
      <c r="L962" s="3">
        <v>0.38194444444444442</v>
      </c>
      <c r="M962" s="2" t="s">
        <v>744</v>
      </c>
      <c r="N962" s="2" t="s">
        <v>500</v>
      </c>
      <c r="O962" s="2"/>
    </row>
    <row r="963" spans="1:15" x14ac:dyDescent="0.25">
      <c r="A963" s="2" t="s">
        <v>15</v>
      </c>
      <c r="B963" s="2" t="str">
        <f>"FES1162768492"</f>
        <v>FES1162768492</v>
      </c>
      <c r="C963" s="2" t="s">
        <v>698</v>
      </c>
      <c r="D963" s="2">
        <v>1</v>
      </c>
      <c r="E963" s="2" t="str">
        <f>"2170754971"</f>
        <v>2170754971</v>
      </c>
      <c r="F963" s="2" t="s">
        <v>17</v>
      </c>
      <c r="G963" s="2" t="s">
        <v>18</v>
      </c>
      <c r="H963" s="2" t="s">
        <v>18</v>
      </c>
      <c r="I963" s="2" t="s">
        <v>63</v>
      </c>
      <c r="J963" s="2" t="s">
        <v>93</v>
      </c>
      <c r="K963" s="2" t="s">
        <v>802</v>
      </c>
      <c r="L963" s="3">
        <v>0.38680555555555557</v>
      </c>
      <c r="M963" s="2" t="s">
        <v>210</v>
      </c>
      <c r="N963" s="2" t="s">
        <v>500</v>
      </c>
      <c r="O963" s="2"/>
    </row>
    <row r="964" spans="1:15" x14ac:dyDescent="0.25">
      <c r="A964" s="2" t="s">
        <v>15</v>
      </c>
      <c r="B964" s="2" t="str">
        <f>"FES1162768695"</f>
        <v>FES1162768695</v>
      </c>
      <c r="C964" s="2" t="s">
        <v>698</v>
      </c>
      <c r="D964" s="2">
        <v>1</v>
      </c>
      <c r="E964" s="2" t="str">
        <f>"2170756049"</f>
        <v>2170756049</v>
      </c>
      <c r="F964" s="2" t="s">
        <v>17</v>
      </c>
      <c r="G964" s="2" t="s">
        <v>18</v>
      </c>
      <c r="H964" s="2" t="s">
        <v>19</v>
      </c>
      <c r="I964" s="2" t="s">
        <v>111</v>
      </c>
      <c r="J964" s="2" t="s">
        <v>405</v>
      </c>
      <c r="K964" s="2" t="s">
        <v>802</v>
      </c>
      <c r="L964" s="3">
        <v>0.33333333333333331</v>
      </c>
      <c r="M964" s="2" t="s">
        <v>714</v>
      </c>
      <c r="N964" s="2" t="s">
        <v>500</v>
      </c>
      <c r="O964" s="2"/>
    </row>
    <row r="965" spans="1:15" x14ac:dyDescent="0.25">
      <c r="A965" s="2" t="s">
        <v>15</v>
      </c>
      <c r="B965" s="2" t="str">
        <f>"FES1162768525"</f>
        <v>FES1162768525</v>
      </c>
      <c r="C965" s="2" t="s">
        <v>698</v>
      </c>
      <c r="D965" s="2">
        <v>1</v>
      </c>
      <c r="E965" s="2" t="str">
        <f>"2170756412"</f>
        <v>2170756412</v>
      </c>
      <c r="F965" s="2" t="s">
        <v>17</v>
      </c>
      <c r="G965" s="2" t="s">
        <v>18</v>
      </c>
      <c r="H965" s="2" t="s">
        <v>78</v>
      </c>
      <c r="I965" s="2" t="s">
        <v>79</v>
      </c>
      <c r="J965" s="2" t="s">
        <v>898</v>
      </c>
      <c r="K965" s="2" t="s">
        <v>802</v>
      </c>
      <c r="L965" s="3">
        <v>0.41666666666666669</v>
      </c>
      <c r="M965" s="2" t="s">
        <v>972</v>
      </c>
      <c r="N965" s="2" t="s">
        <v>500</v>
      </c>
      <c r="O965" s="2"/>
    </row>
    <row r="966" spans="1:15" x14ac:dyDescent="0.25">
      <c r="A966" s="2" t="s">
        <v>15</v>
      </c>
      <c r="B966" s="2" t="str">
        <f>"FES1162768744"</f>
        <v>FES1162768744</v>
      </c>
      <c r="C966" s="2" t="s">
        <v>698</v>
      </c>
      <c r="D966" s="2">
        <v>1</v>
      </c>
      <c r="E966" s="2" t="str">
        <f>"2170754471"</f>
        <v>2170754471</v>
      </c>
      <c r="F966" s="2" t="s">
        <v>17</v>
      </c>
      <c r="G966" s="2" t="s">
        <v>18</v>
      </c>
      <c r="H966" s="2" t="s">
        <v>19</v>
      </c>
      <c r="I966" s="2" t="s">
        <v>111</v>
      </c>
      <c r="J966" s="2" t="s">
        <v>405</v>
      </c>
      <c r="K966" s="2" t="s">
        <v>802</v>
      </c>
      <c r="L966" s="3">
        <v>0.33333333333333331</v>
      </c>
      <c r="M966" s="2" t="s">
        <v>714</v>
      </c>
      <c r="N966" s="2" t="s">
        <v>500</v>
      </c>
      <c r="O966" s="2"/>
    </row>
    <row r="967" spans="1:15" x14ac:dyDescent="0.25">
      <c r="A967" s="2" t="s">
        <v>15</v>
      </c>
      <c r="B967" s="2" t="str">
        <f>"FES1162768629"</f>
        <v>FES1162768629</v>
      </c>
      <c r="C967" s="2" t="s">
        <v>698</v>
      </c>
      <c r="D967" s="2">
        <v>1</v>
      </c>
      <c r="E967" s="2" t="str">
        <f>"2170753026"</f>
        <v>2170753026</v>
      </c>
      <c r="F967" s="2" t="s">
        <v>17</v>
      </c>
      <c r="G967" s="2" t="s">
        <v>18</v>
      </c>
      <c r="H967" s="2" t="s">
        <v>36</v>
      </c>
      <c r="I967" s="2" t="s">
        <v>37</v>
      </c>
      <c r="J967" s="2" t="s">
        <v>869</v>
      </c>
      <c r="K967" s="2" t="s">
        <v>802</v>
      </c>
      <c r="L967" s="3">
        <v>0.43263888888888885</v>
      </c>
      <c r="M967" s="2" t="s">
        <v>973</v>
      </c>
      <c r="N967" s="2" t="s">
        <v>500</v>
      </c>
      <c r="O967" s="2"/>
    </row>
    <row r="968" spans="1:15" x14ac:dyDescent="0.25">
      <c r="A968" s="2" t="s">
        <v>15</v>
      </c>
      <c r="B968" s="2" t="str">
        <f>"FES1162768673"</f>
        <v>FES1162768673</v>
      </c>
      <c r="C968" s="2" t="s">
        <v>698</v>
      </c>
      <c r="D968" s="2">
        <v>1</v>
      </c>
      <c r="E968" s="2" t="str">
        <f>"2170754864"</f>
        <v>2170754864</v>
      </c>
      <c r="F968" s="2" t="s">
        <v>17</v>
      </c>
      <c r="G968" s="2" t="s">
        <v>18</v>
      </c>
      <c r="H968" s="2" t="s">
        <v>18</v>
      </c>
      <c r="I968" s="2" t="s">
        <v>63</v>
      </c>
      <c r="J968" s="2" t="s">
        <v>899</v>
      </c>
      <c r="K968" s="2" t="s">
        <v>802</v>
      </c>
      <c r="L968" s="3">
        <v>0.41319444444444442</v>
      </c>
      <c r="M968" s="2" t="s">
        <v>974</v>
      </c>
      <c r="N968" s="2" t="s">
        <v>500</v>
      </c>
      <c r="O968" s="2"/>
    </row>
    <row r="969" spans="1:15" x14ac:dyDescent="0.25">
      <c r="A969" s="2" t="s">
        <v>15</v>
      </c>
      <c r="B969" s="2" t="str">
        <f>"FES1162768861"</f>
        <v>FES1162768861</v>
      </c>
      <c r="C969" s="2" t="s">
        <v>698</v>
      </c>
      <c r="D969" s="2">
        <v>1</v>
      </c>
      <c r="E969" s="2" t="str">
        <f>"2170754214"</f>
        <v>2170754214</v>
      </c>
      <c r="F969" s="2" t="s">
        <v>17</v>
      </c>
      <c r="G969" s="2" t="s">
        <v>18</v>
      </c>
      <c r="H969" s="2" t="s">
        <v>19</v>
      </c>
      <c r="I969" s="2" t="s">
        <v>20</v>
      </c>
      <c r="J969" s="2" t="s">
        <v>343</v>
      </c>
      <c r="K969" s="2" t="s">
        <v>802</v>
      </c>
      <c r="L969" s="3">
        <v>0.3979166666666667</v>
      </c>
      <c r="M969" s="2" t="s">
        <v>975</v>
      </c>
      <c r="N969" s="2" t="s">
        <v>500</v>
      </c>
      <c r="O969" s="2"/>
    </row>
    <row r="970" spans="1:15" x14ac:dyDescent="0.25">
      <c r="A970" s="2" t="s">
        <v>15</v>
      </c>
      <c r="B970" s="2" t="str">
        <f>"FES1162768829"</f>
        <v>FES1162768829</v>
      </c>
      <c r="C970" s="2" t="s">
        <v>698</v>
      </c>
      <c r="D970" s="2">
        <v>1</v>
      </c>
      <c r="E970" s="2" t="str">
        <f>"2170753036"</f>
        <v>2170753036</v>
      </c>
      <c r="F970" s="2" t="s">
        <v>17</v>
      </c>
      <c r="G970" s="2" t="s">
        <v>18</v>
      </c>
      <c r="H970" s="2" t="s">
        <v>19</v>
      </c>
      <c r="I970" s="2" t="s">
        <v>20</v>
      </c>
      <c r="J970" s="2" t="s">
        <v>77</v>
      </c>
      <c r="K970" s="2" t="s">
        <v>802</v>
      </c>
      <c r="L970" s="3">
        <v>0.3125</v>
      </c>
      <c r="M970" s="2" t="s">
        <v>198</v>
      </c>
      <c r="N970" s="2" t="s">
        <v>500</v>
      </c>
      <c r="O970" s="2"/>
    </row>
    <row r="971" spans="1:15" x14ac:dyDescent="0.25">
      <c r="A971" s="2" t="s">
        <v>15</v>
      </c>
      <c r="B971" s="2" t="str">
        <f>"FES1162768883"</f>
        <v>FES1162768883</v>
      </c>
      <c r="C971" s="2" t="s">
        <v>698</v>
      </c>
      <c r="D971" s="2">
        <v>1</v>
      </c>
      <c r="E971" s="2" t="str">
        <f>"2170754732"</f>
        <v>2170754732</v>
      </c>
      <c r="F971" s="2" t="s">
        <v>17</v>
      </c>
      <c r="G971" s="2" t="s">
        <v>18</v>
      </c>
      <c r="H971" s="2" t="s">
        <v>19</v>
      </c>
      <c r="I971" s="2" t="s">
        <v>130</v>
      </c>
      <c r="J971" s="2" t="s">
        <v>131</v>
      </c>
      <c r="K971" s="2" t="s">
        <v>802</v>
      </c>
      <c r="L971" s="3">
        <v>0.43611111111111112</v>
      </c>
      <c r="M971" s="2" t="s">
        <v>600</v>
      </c>
      <c r="N971" s="2" t="s">
        <v>500</v>
      </c>
      <c r="O971" s="2"/>
    </row>
    <row r="972" spans="1:15" x14ac:dyDescent="0.25">
      <c r="A972" s="2" t="s">
        <v>15</v>
      </c>
      <c r="B972" s="2" t="str">
        <f>"FES1162768888"</f>
        <v>FES1162768888</v>
      </c>
      <c r="C972" s="2" t="s">
        <v>698</v>
      </c>
      <c r="D972" s="2">
        <v>1</v>
      </c>
      <c r="E972" s="2" t="str">
        <f>"2170755795"</f>
        <v>2170755795</v>
      </c>
      <c r="F972" s="2" t="s">
        <v>17</v>
      </c>
      <c r="G972" s="2" t="s">
        <v>18</v>
      </c>
      <c r="H972" s="2" t="s">
        <v>36</v>
      </c>
      <c r="I972" s="2" t="s">
        <v>37</v>
      </c>
      <c r="J972" s="2" t="s">
        <v>462</v>
      </c>
      <c r="K972" s="2" t="s">
        <v>802</v>
      </c>
      <c r="L972" s="3">
        <v>0.4375</v>
      </c>
      <c r="M972" s="2" t="s">
        <v>976</v>
      </c>
      <c r="N972" s="2" t="s">
        <v>500</v>
      </c>
      <c r="O972" s="2"/>
    </row>
    <row r="973" spans="1:15" x14ac:dyDescent="0.25">
      <c r="A973" s="2" t="s">
        <v>15</v>
      </c>
      <c r="B973" s="2" t="str">
        <f>"FES1162768661"</f>
        <v>FES1162768661</v>
      </c>
      <c r="C973" s="2" t="s">
        <v>698</v>
      </c>
      <c r="D973" s="2">
        <v>1</v>
      </c>
      <c r="E973" s="2" t="str">
        <f>"2170753904"</f>
        <v>2170753904</v>
      </c>
      <c r="F973" s="2" t="s">
        <v>17</v>
      </c>
      <c r="G973" s="2" t="s">
        <v>18</v>
      </c>
      <c r="H973" s="2" t="s">
        <v>25</v>
      </c>
      <c r="I973" s="2" t="s">
        <v>39</v>
      </c>
      <c r="J973" s="2" t="s">
        <v>161</v>
      </c>
      <c r="K973" s="2" t="s">
        <v>802</v>
      </c>
      <c r="L973" s="3">
        <v>0.50902777777777775</v>
      </c>
      <c r="M973" s="2" t="s">
        <v>977</v>
      </c>
      <c r="N973" s="2" t="s">
        <v>500</v>
      </c>
      <c r="O973" s="2"/>
    </row>
    <row r="974" spans="1:15" x14ac:dyDescent="0.25">
      <c r="A974" s="2" t="s">
        <v>15</v>
      </c>
      <c r="B974" s="2" t="str">
        <f>"FES1162768679"</f>
        <v>FES1162768679</v>
      </c>
      <c r="C974" s="2" t="s">
        <v>698</v>
      </c>
      <c r="D974" s="2">
        <v>1</v>
      </c>
      <c r="E974" s="2" t="str">
        <f>"2170755267"</f>
        <v>2170755267</v>
      </c>
      <c r="F974" s="2" t="s">
        <v>17</v>
      </c>
      <c r="G974" s="2" t="s">
        <v>18</v>
      </c>
      <c r="H974" s="2" t="s">
        <v>18</v>
      </c>
      <c r="I974" s="2" t="s">
        <v>63</v>
      </c>
      <c r="J974" s="2" t="s">
        <v>900</v>
      </c>
      <c r="K974" s="2" t="s">
        <v>802</v>
      </c>
      <c r="L974" s="3">
        <v>0.33333333333333331</v>
      </c>
      <c r="M974" s="2" t="s">
        <v>978</v>
      </c>
      <c r="N974" s="2" t="s">
        <v>500</v>
      </c>
      <c r="O974" s="2"/>
    </row>
    <row r="975" spans="1:15" x14ac:dyDescent="0.25">
      <c r="A975" s="2" t="s">
        <v>15</v>
      </c>
      <c r="B975" s="2" t="str">
        <f>"FES1162768631"</f>
        <v>FES1162768631</v>
      </c>
      <c r="C975" s="2" t="s">
        <v>698</v>
      </c>
      <c r="D975" s="2">
        <v>1</v>
      </c>
      <c r="E975" s="2" t="str">
        <f>"2170753251"</f>
        <v>2170753251</v>
      </c>
      <c r="F975" s="2" t="s">
        <v>17</v>
      </c>
      <c r="G975" s="2" t="s">
        <v>18</v>
      </c>
      <c r="H975" s="2" t="s">
        <v>36</v>
      </c>
      <c r="I975" s="2" t="s">
        <v>37</v>
      </c>
      <c r="J975" s="2" t="s">
        <v>162</v>
      </c>
      <c r="K975" s="2" t="s">
        <v>802</v>
      </c>
      <c r="L975" s="3">
        <v>0.34027777777777773</v>
      </c>
      <c r="M975" s="2" t="s">
        <v>268</v>
      </c>
      <c r="N975" s="2" t="s">
        <v>500</v>
      </c>
      <c r="O975" s="2"/>
    </row>
    <row r="976" spans="1:15" x14ac:dyDescent="0.25">
      <c r="A976" s="2" t="s">
        <v>15</v>
      </c>
      <c r="B976" s="2" t="str">
        <f>"FES1162768685"</f>
        <v>FES1162768685</v>
      </c>
      <c r="C976" s="2" t="s">
        <v>698</v>
      </c>
      <c r="D976" s="2">
        <v>1</v>
      </c>
      <c r="E976" s="2" t="str">
        <f>"2170755489"</f>
        <v>2170755489</v>
      </c>
      <c r="F976" s="2" t="s">
        <v>17</v>
      </c>
      <c r="G976" s="2" t="s">
        <v>18</v>
      </c>
      <c r="H976" s="2" t="s">
        <v>36</v>
      </c>
      <c r="I976" s="2" t="s">
        <v>37</v>
      </c>
      <c r="J976" s="2" t="s">
        <v>313</v>
      </c>
      <c r="K976" s="2" t="s">
        <v>802</v>
      </c>
      <c r="L976" s="3">
        <v>0.42708333333333331</v>
      </c>
      <c r="M976" s="2" t="s">
        <v>963</v>
      </c>
      <c r="N976" s="2" t="s">
        <v>500</v>
      </c>
      <c r="O976" s="2"/>
    </row>
    <row r="977" spans="1:15" x14ac:dyDescent="0.25">
      <c r="A977" s="2" t="s">
        <v>15</v>
      </c>
      <c r="B977" s="2" t="str">
        <f>"FES1162768690"</f>
        <v>FES1162768690</v>
      </c>
      <c r="C977" s="2" t="s">
        <v>698</v>
      </c>
      <c r="D977" s="2">
        <v>1</v>
      </c>
      <c r="E977" s="2" t="str">
        <f>"2170755874"</f>
        <v>2170755874</v>
      </c>
      <c r="F977" s="2" t="s">
        <v>17</v>
      </c>
      <c r="G977" s="2" t="s">
        <v>18</v>
      </c>
      <c r="H977" s="2" t="s">
        <v>36</v>
      </c>
      <c r="I977" s="2" t="s">
        <v>37</v>
      </c>
      <c r="J977" s="2" t="s">
        <v>104</v>
      </c>
      <c r="K977" s="2" t="s">
        <v>802</v>
      </c>
      <c r="L977" s="3">
        <v>0.33958333333333335</v>
      </c>
      <c r="M977" s="2" t="s">
        <v>870</v>
      </c>
      <c r="N977" s="2" t="s">
        <v>500</v>
      </c>
      <c r="O977" s="2"/>
    </row>
    <row r="978" spans="1:15" x14ac:dyDescent="0.25">
      <c r="A978" s="2" t="s">
        <v>15</v>
      </c>
      <c r="B978" s="2" t="str">
        <f>"FES1162768500"</f>
        <v>FES1162768500</v>
      </c>
      <c r="C978" s="2" t="s">
        <v>698</v>
      </c>
      <c r="D978" s="2">
        <v>1</v>
      </c>
      <c r="E978" s="2" t="str">
        <f>"2170755446"</f>
        <v>2170755446</v>
      </c>
      <c r="F978" s="2" t="s">
        <v>17</v>
      </c>
      <c r="G978" s="2" t="s">
        <v>18</v>
      </c>
      <c r="H978" s="2" t="s">
        <v>36</v>
      </c>
      <c r="I978" s="2" t="s">
        <v>37</v>
      </c>
      <c r="J978" s="2" t="s">
        <v>162</v>
      </c>
      <c r="K978" s="2" t="s">
        <v>802</v>
      </c>
      <c r="L978" s="3">
        <v>0.34027777777777773</v>
      </c>
      <c r="M978" s="2" t="s">
        <v>979</v>
      </c>
      <c r="N978" s="2" t="s">
        <v>500</v>
      </c>
      <c r="O978" s="2"/>
    </row>
    <row r="979" spans="1:15" x14ac:dyDescent="0.25">
      <c r="A979" s="2" t="s">
        <v>15</v>
      </c>
      <c r="B979" s="2" t="str">
        <f>"FES1162768639"</f>
        <v>FES1162768639</v>
      </c>
      <c r="C979" s="2" t="s">
        <v>698</v>
      </c>
      <c r="D979" s="2">
        <v>1</v>
      </c>
      <c r="E979" s="2" t="str">
        <f>"2170753444"</f>
        <v>2170753444</v>
      </c>
      <c r="F979" s="2" t="s">
        <v>17</v>
      </c>
      <c r="G979" s="2" t="s">
        <v>18</v>
      </c>
      <c r="H979" s="2" t="s">
        <v>36</v>
      </c>
      <c r="I979" s="2" t="s">
        <v>37</v>
      </c>
      <c r="J979" s="2" t="s">
        <v>646</v>
      </c>
      <c r="K979" s="2" t="s">
        <v>802</v>
      </c>
      <c r="L979" s="3">
        <v>0.37847222222222227</v>
      </c>
      <c r="M979" s="2" t="s">
        <v>980</v>
      </c>
      <c r="N979" s="2" t="s">
        <v>500</v>
      </c>
      <c r="O979" s="2"/>
    </row>
    <row r="980" spans="1:15" x14ac:dyDescent="0.25">
      <c r="A980" s="2" t="s">
        <v>15</v>
      </c>
      <c r="B980" s="2" t="str">
        <f>"FES1162768574"</f>
        <v>FES1162768574</v>
      </c>
      <c r="C980" s="2" t="s">
        <v>698</v>
      </c>
      <c r="D980" s="2">
        <v>1</v>
      </c>
      <c r="E980" s="2" t="str">
        <f>"2170753967"</f>
        <v>2170753967</v>
      </c>
      <c r="F980" s="2" t="s">
        <v>17</v>
      </c>
      <c r="G980" s="2" t="s">
        <v>18</v>
      </c>
      <c r="H980" s="2" t="s">
        <v>36</v>
      </c>
      <c r="I980" s="2" t="s">
        <v>37</v>
      </c>
      <c r="J980" s="2" t="s">
        <v>55</v>
      </c>
      <c r="K980" s="2" t="s">
        <v>802</v>
      </c>
      <c r="L980" s="3">
        <v>0.40277777777777773</v>
      </c>
      <c r="M980" s="2" t="s">
        <v>305</v>
      </c>
      <c r="N980" s="2" t="s">
        <v>500</v>
      </c>
      <c r="O980" s="2"/>
    </row>
    <row r="981" spans="1:15" x14ac:dyDescent="0.25">
      <c r="A981" s="2" t="s">
        <v>15</v>
      </c>
      <c r="B981" s="2" t="str">
        <f>"FES1162768799"</f>
        <v>FES1162768799</v>
      </c>
      <c r="C981" s="2" t="s">
        <v>698</v>
      </c>
      <c r="D981" s="2">
        <v>1</v>
      </c>
      <c r="E981" s="2" t="str">
        <f>"2170754416"</f>
        <v>2170754416</v>
      </c>
      <c r="F981" s="2" t="s">
        <v>17</v>
      </c>
      <c r="G981" s="2" t="s">
        <v>18</v>
      </c>
      <c r="H981" s="2" t="s">
        <v>78</v>
      </c>
      <c r="I981" s="2" t="s">
        <v>79</v>
      </c>
      <c r="J981" s="2" t="s">
        <v>80</v>
      </c>
      <c r="K981" s="2" t="s">
        <v>802</v>
      </c>
      <c r="L981" s="3">
        <v>0.57986111111111105</v>
      </c>
      <c r="M981" s="2" t="s">
        <v>199</v>
      </c>
      <c r="N981" s="2" t="s">
        <v>500</v>
      </c>
      <c r="O981" s="2"/>
    </row>
    <row r="982" spans="1:15" x14ac:dyDescent="0.25">
      <c r="A982" s="2" t="s">
        <v>15</v>
      </c>
      <c r="B982" s="2" t="str">
        <f>"FES1162768623"</f>
        <v>FES1162768623</v>
      </c>
      <c r="C982" s="2" t="s">
        <v>698</v>
      </c>
      <c r="D982" s="2">
        <v>1</v>
      </c>
      <c r="E982" s="2" t="str">
        <f>"2170751063"</f>
        <v>2170751063</v>
      </c>
      <c r="F982" s="2" t="s">
        <v>17</v>
      </c>
      <c r="G982" s="2" t="s">
        <v>18</v>
      </c>
      <c r="H982" s="2" t="s">
        <v>88</v>
      </c>
      <c r="I982" s="2" t="s">
        <v>109</v>
      </c>
      <c r="J982" s="2" t="s">
        <v>110</v>
      </c>
      <c r="K982" s="2" t="s">
        <v>802</v>
      </c>
      <c r="L982" s="3">
        <v>0.3972222222222222</v>
      </c>
      <c r="M982" s="2" t="s">
        <v>224</v>
      </c>
      <c r="N982" s="2" t="s">
        <v>500</v>
      </c>
      <c r="O982" s="2"/>
    </row>
    <row r="983" spans="1:15" x14ac:dyDescent="0.25">
      <c r="A983" s="2" t="s">
        <v>15</v>
      </c>
      <c r="B983" s="2" t="str">
        <f>"FES1162768638"</f>
        <v>FES1162768638</v>
      </c>
      <c r="C983" s="2" t="s">
        <v>698</v>
      </c>
      <c r="D983" s="2">
        <v>1</v>
      </c>
      <c r="E983" s="2" t="str">
        <f>"2170753441"</f>
        <v>2170753441</v>
      </c>
      <c r="F983" s="2" t="s">
        <v>17</v>
      </c>
      <c r="G983" s="2" t="s">
        <v>18</v>
      </c>
      <c r="H983" s="2" t="s">
        <v>88</v>
      </c>
      <c r="I983" s="2" t="s">
        <v>109</v>
      </c>
      <c r="J983" s="2" t="s">
        <v>275</v>
      </c>
      <c r="K983" s="2" t="s">
        <v>802</v>
      </c>
      <c r="L983" s="3">
        <v>0.4375</v>
      </c>
      <c r="M983" s="2" t="s">
        <v>839</v>
      </c>
      <c r="N983" s="2" t="s">
        <v>500</v>
      </c>
      <c r="O983" s="2"/>
    </row>
    <row r="984" spans="1:15" x14ac:dyDescent="0.25">
      <c r="A984" s="2" t="s">
        <v>15</v>
      </c>
      <c r="B984" s="2" t="str">
        <f>"FES1162768601"</f>
        <v>FES1162768601</v>
      </c>
      <c r="C984" s="2" t="s">
        <v>698</v>
      </c>
      <c r="D984" s="2">
        <v>1</v>
      </c>
      <c r="E984" s="2" t="str">
        <f>"2170755061"</f>
        <v>2170755061</v>
      </c>
      <c r="F984" s="2" t="s">
        <v>17</v>
      </c>
      <c r="G984" s="2" t="s">
        <v>18</v>
      </c>
      <c r="H984" s="2" t="s">
        <v>18</v>
      </c>
      <c r="I984" s="2" t="s">
        <v>63</v>
      </c>
      <c r="J984" s="2" t="s">
        <v>93</v>
      </c>
      <c r="K984" s="2" t="s">
        <v>802</v>
      </c>
      <c r="L984" s="3">
        <v>0.38750000000000001</v>
      </c>
      <c r="M984" s="2" t="s">
        <v>210</v>
      </c>
      <c r="N984" s="2" t="s">
        <v>500</v>
      </c>
      <c r="O984" s="2"/>
    </row>
    <row r="985" spans="1:15" x14ac:dyDescent="0.25">
      <c r="A985" s="2" t="s">
        <v>15</v>
      </c>
      <c r="B985" s="2" t="str">
        <f>"FES1162768634"</f>
        <v>FES1162768634</v>
      </c>
      <c r="C985" s="2" t="s">
        <v>698</v>
      </c>
      <c r="D985" s="2">
        <v>1</v>
      </c>
      <c r="E985" s="2" t="str">
        <f>"2170753285"</f>
        <v>2170753285</v>
      </c>
      <c r="F985" s="2" t="s">
        <v>17</v>
      </c>
      <c r="G985" s="2" t="s">
        <v>18</v>
      </c>
      <c r="H985" s="2" t="s">
        <v>36</v>
      </c>
      <c r="I985" s="2" t="s">
        <v>37</v>
      </c>
      <c r="J985" s="2" t="s">
        <v>162</v>
      </c>
      <c r="K985" s="2" t="s">
        <v>802</v>
      </c>
      <c r="L985" s="3">
        <v>0.34027777777777773</v>
      </c>
      <c r="M985" s="2" t="s">
        <v>268</v>
      </c>
      <c r="N985" s="2" t="s">
        <v>500</v>
      </c>
      <c r="O985" s="2"/>
    </row>
    <row r="986" spans="1:15" x14ac:dyDescent="0.25">
      <c r="A986" s="2" t="s">
        <v>15</v>
      </c>
      <c r="B986" s="2" t="str">
        <f>"FES1162768813"</f>
        <v>FES1162768813</v>
      </c>
      <c r="C986" s="2" t="s">
        <v>698</v>
      </c>
      <c r="D986" s="2">
        <v>1</v>
      </c>
      <c r="E986" s="2" t="str">
        <f>"2170756048"</f>
        <v>2170756048</v>
      </c>
      <c r="F986" s="2" t="s">
        <v>17</v>
      </c>
      <c r="G986" s="2" t="s">
        <v>18</v>
      </c>
      <c r="H986" s="2" t="s">
        <v>78</v>
      </c>
      <c r="I986" s="2" t="s">
        <v>79</v>
      </c>
      <c r="J986" s="2" t="s">
        <v>630</v>
      </c>
      <c r="K986" s="2" t="s">
        <v>802</v>
      </c>
      <c r="L986" s="3">
        <v>0.57986111111111105</v>
      </c>
      <c r="M986" s="2" t="s">
        <v>748</v>
      </c>
      <c r="N986" s="2" t="s">
        <v>500</v>
      </c>
      <c r="O986" s="2"/>
    </row>
    <row r="987" spans="1:15" x14ac:dyDescent="0.25">
      <c r="A987" s="2" t="s">
        <v>15</v>
      </c>
      <c r="B987" s="2" t="str">
        <f>"FES1162768508"</f>
        <v>FES1162768508</v>
      </c>
      <c r="C987" s="2" t="s">
        <v>698</v>
      </c>
      <c r="D987" s="2">
        <v>1</v>
      </c>
      <c r="E987" s="2" t="str">
        <f>"2170756106"</f>
        <v>2170756106</v>
      </c>
      <c r="F987" s="2" t="s">
        <v>17</v>
      </c>
      <c r="G987" s="2" t="s">
        <v>18</v>
      </c>
      <c r="H987" s="2" t="s">
        <v>36</v>
      </c>
      <c r="I987" s="2" t="s">
        <v>37</v>
      </c>
      <c r="J987" s="2" t="s">
        <v>671</v>
      </c>
      <c r="K987" s="2" t="s">
        <v>802</v>
      </c>
      <c r="L987" s="3">
        <v>0.39999999999999997</v>
      </c>
      <c r="M987" s="2" t="s">
        <v>981</v>
      </c>
      <c r="N987" s="2" t="s">
        <v>500</v>
      </c>
      <c r="O987" s="2"/>
    </row>
    <row r="988" spans="1:15" x14ac:dyDescent="0.25">
      <c r="A988" s="2" t="s">
        <v>15</v>
      </c>
      <c r="B988" s="2" t="str">
        <f>"FES1162768818"</f>
        <v>FES1162768818</v>
      </c>
      <c r="C988" s="2" t="s">
        <v>698</v>
      </c>
      <c r="D988" s="2">
        <v>1</v>
      </c>
      <c r="E988" s="2" t="str">
        <f>"2170756473"</f>
        <v>2170756473</v>
      </c>
      <c r="F988" s="2" t="s">
        <v>17</v>
      </c>
      <c r="G988" s="2" t="s">
        <v>18</v>
      </c>
      <c r="H988" s="2" t="s">
        <v>19</v>
      </c>
      <c r="I988" s="2" t="s">
        <v>20</v>
      </c>
      <c r="J988" s="2" t="s">
        <v>21</v>
      </c>
      <c r="K988" s="2" t="s">
        <v>802</v>
      </c>
      <c r="L988" s="3">
        <v>0.37847222222222227</v>
      </c>
      <c r="M988" s="2" t="s">
        <v>682</v>
      </c>
      <c r="N988" s="2" t="s">
        <v>500</v>
      </c>
      <c r="O988" s="2"/>
    </row>
    <row r="989" spans="1:15" x14ac:dyDescent="0.25">
      <c r="A989" s="2" t="s">
        <v>15</v>
      </c>
      <c r="B989" s="2" t="str">
        <f>"FES1162768819"</f>
        <v>FES1162768819</v>
      </c>
      <c r="C989" s="2" t="s">
        <v>698</v>
      </c>
      <c r="D989" s="2">
        <v>1</v>
      </c>
      <c r="E989" s="2" t="str">
        <f>"2170756478"</f>
        <v>2170756478</v>
      </c>
      <c r="F989" s="2" t="s">
        <v>17</v>
      </c>
      <c r="G989" s="2" t="s">
        <v>18</v>
      </c>
      <c r="H989" s="2" t="s">
        <v>19</v>
      </c>
      <c r="I989" s="2" t="s">
        <v>73</v>
      </c>
      <c r="J989" s="2" t="s">
        <v>901</v>
      </c>
      <c r="K989" s="2" t="s">
        <v>802</v>
      </c>
      <c r="L989" s="3">
        <v>0.47222222222222227</v>
      </c>
      <c r="M989" s="2" t="s">
        <v>982</v>
      </c>
      <c r="N989" s="2" t="s">
        <v>500</v>
      </c>
      <c r="O989" s="2"/>
    </row>
    <row r="990" spans="1:15" x14ac:dyDescent="0.25">
      <c r="A990" s="2" t="s">
        <v>15</v>
      </c>
      <c r="B990" s="2" t="str">
        <f>"FES1162768516"</f>
        <v>FES1162768516</v>
      </c>
      <c r="C990" s="2" t="s">
        <v>698</v>
      </c>
      <c r="D990" s="2">
        <v>1</v>
      </c>
      <c r="E990" s="2" t="str">
        <f>"2170756400"</f>
        <v>2170756400</v>
      </c>
      <c r="F990" s="2" t="s">
        <v>17</v>
      </c>
      <c r="G990" s="2" t="s">
        <v>18</v>
      </c>
      <c r="H990" s="2" t="s">
        <v>19</v>
      </c>
      <c r="I990" s="2" t="s">
        <v>73</v>
      </c>
      <c r="J990" s="2" t="s">
        <v>76</v>
      </c>
      <c r="K990" s="2" t="s">
        <v>802</v>
      </c>
      <c r="L990" s="3">
        <v>0.32083333333333336</v>
      </c>
      <c r="M990" s="2" t="s">
        <v>197</v>
      </c>
      <c r="N990" s="2" t="s">
        <v>500</v>
      </c>
      <c r="O990" s="2"/>
    </row>
    <row r="991" spans="1:15" x14ac:dyDescent="0.25">
      <c r="A991" s="2" t="s">
        <v>15</v>
      </c>
      <c r="B991" s="2" t="str">
        <f>"FES1162768877"</f>
        <v>FES1162768877</v>
      </c>
      <c r="C991" s="2" t="s">
        <v>698</v>
      </c>
      <c r="D991" s="2">
        <v>1</v>
      </c>
      <c r="E991" s="2" t="str">
        <f>"2170754465"</f>
        <v>2170754465</v>
      </c>
      <c r="F991" s="2" t="s">
        <v>17</v>
      </c>
      <c r="G991" s="2" t="s">
        <v>18</v>
      </c>
      <c r="H991" s="2" t="s">
        <v>19</v>
      </c>
      <c r="I991" s="2" t="s">
        <v>73</v>
      </c>
      <c r="J991" s="2" t="s">
        <v>76</v>
      </c>
      <c r="K991" s="2" t="s">
        <v>802</v>
      </c>
      <c r="L991" s="3">
        <v>0.31944444444444448</v>
      </c>
      <c r="M991" s="2" t="s">
        <v>197</v>
      </c>
      <c r="N991" s="2" t="s">
        <v>500</v>
      </c>
      <c r="O991" s="2"/>
    </row>
    <row r="992" spans="1:15" x14ac:dyDescent="0.25">
      <c r="A992" s="2" t="s">
        <v>15</v>
      </c>
      <c r="B992" s="2" t="str">
        <f>"FES1162768926"</f>
        <v>FES1162768926</v>
      </c>
      <c r="C992" s="2" t="s">
        <v>698</v>
      </c>
      <c r="D992" s="2">
        <v>1</v>
      </c>
      <c r="E992" s="2" t="str">
        <f>"2170756506"</f>
        <v>2170756506</v>
      </c>
      <c r="F992" s="2" t="s">
        <v>17</v>
      </c>
      <c r="G992" s="2" t="s">
        <v>18</v>
      </c>
      <c r="H992" s="2" t="s">
        <v>36</v>
      </c>
      <c r="I992" s="2" t="s">
        <v>67</v>
      </c>
      <c r="J992" s="2" t="s">
        <v>902</v>
      </c>
      <c r="K992" s="2" t="s">
        <v>802</v>
      </c>
      <c r="L992" s="3">
        <v>0.40902777777777777</v>
      </c>
      <c r="M992" s="2" t="s">
        <v>983</v>
      </c>
      <c r="N992" s="2" t="s">
        <v>500</v>
      </c>
      <c r="O992" s="2"/>
    </row>
    <row r="993" spans="1:15" x14ac:dyDescent="0.25">
      <c r="A993" s="2" t="s">
        <v>15</v>
      </c>
      <c r="B993" s="2" t="str">
        <f>"FES1162768618"</f>
        <v>FES1162768618</v>
      </c>
      <c r="C993" s="2" t="s">
        <v>698</v>
      </c>
      <c r="D993" s="2">
        <v>1</v>
      </c>
      <c r="E993" s="2" t="str">
        <f>"2170756448"</f>
        <v>2170756448</v>
      </c>
      <c r="F993" s="2" t="s">
        <v>17</v>
      </c>
      <c r="G993" s="2" t="s">
        <v>18</v>
      </c>
      <c r="H993" s="2" t="s">
        <v>33</v>
      </c>
      <c r="I993" s="2" t="s">
        <v>34</v>
      </c>
      <c r="J993" s="2" t="s">
        <v>154</v>
      </c>
      <c r="K993" s="2" t="s">
        <v>802</v>
      </c>
      <c r="L993" s="3">
        <v>0.43333333333333335</v>
      </c>
      <c r="M993" s="2" t="s">
        <v>984</v>
      </c>
      <c r="N993" s="2" t="s">
        <v>500</v>
      </c>
      <c r="O993" s="2"/>
    </row>
    <row r="994" spans="1:15" x14ac:dyDescent="0.25">
      <c r="A994" s="2" t="s">
        <v>15</v>
      </c>
      <c r="B994" s="2" t="str">
        <f>"FES1162768602"</f>
        <v>FES1162768602</v>
      </c>
      <c r="C994" s="2" t="s">
        <v>698</v>
      </c>
      <c r="D994" s="2">
        <v>1</v>
      </c>
      <c r="E994" s="2" t="str">
        <f>"2170755142"</f>
        <v>2170755142</v>
      </c>
      <c r="F994" s="2" t="s">
        <v>17</v>
      </c>
      <c r="G994" s="2" t="s">
        <v>18</v>
      </c>
      <c r="H994" s="2" t="s">
        <v>18</v>
      </c>
      <c r="I994" s="2" t="s">
        <v>82</v>
      </c>
      <c r="J994" s="2" t="s">
        <v>83</v>
      </c>
      <c r="K994" s="2" t="s">
        <v>802</v>
      </c>
      <c r="L994" s="3">
        <v>0.38611111111111113</v>
      </c>
      <c r="M994" s="2" t="s">
        <v>559</v>
      </c>
      <c r="N994" s="2" t="s">
        <v>500</v>
      </c>
      <c r="O994" s="2"/>
    </row>
    <row r="995" spans="1:15" x14ac:dyDescent="0.25">
      <c r="A995" s="2" t="s">
        <v>15</v>
      </c>
      <c r="B995" s="2" t="str">
        <f>"FES1162768704"</f>
        <v>FES1162768704</v>
      </c>
      <c r="C995" s="2" t="s">
        <v>698</v>
      </c>
      <c r="D995" s="2">
        <v>1</v>
      </c>
      <c r="E995" s="2" t="str">
        <f>"2170756451"</f>
        <v>2170756451</v>
      </c>
      <c r="F995" s="2" t="s">
        <v>17</v>
      </c>
      <c r="G995" s="2" t="s">
        <v>18</v>
      </c>
      <c r="H995" s="2" t="s">
        <v>18</v>
      </c>
      <c r="I995" s="2" t="s">
        <v>57</v>
      </c>
      <c r="J995" s="2" t="s">
        <v>903</v>
      </c>
      <c r="K995" s="2" t="s">
        <v>802</v>
      </c>
      <c r="L995" s="3">
        <v>0.58333333333333337</v>
      </c>
      <c r="M995" s="2" t="s">
        <v>985</v>
      </c>
      <c r="N995" s="2" t="s">
        <v>500</v>
      </c>
      <c r="O995" s="2"/>
    </row>
    <row r="996" spans="1:15" x14ac:dyDescent="0.25">
      <c r="A996" s="2" t="s">
        <v>15</v>
      </c>
      <c r="B996" s="2" t="str">
        <f>"FES1162768885"</f>
        <v>FES1162768885</v>
      </c>
      <c r="C996" s="2" t="s">
        <v>698</v>
      </c>
      <c r="D996" s="2">
        <v>1</v>
      </c>
      <c r="E996" s="2" t="str">
        <f>"2170754955"</f>
        <v>2170754955</v>
      </c>
      <c r="F996" s="2" t="s">
        <v>17</v>
      </c>
      <c r="G996" s="2" t="s">
        <v>18</v>
      </c>
      <c r="H996" s="2" t="s">
        <v>19</v>
      </c>
      <c r="I996" s="2" t="s">
        <v>111</v>
      </c>
      <c r="J996" s="2" t="s">
        <v>112</v>
      </c>
      <c r="K996" s="2" t="s">
        <v>802</v>
      </c>
      <c r="L996" s="3">
        <v>0.51388888888888895</v>
      </c>
      <c r="M996" s="2" t="s">
        <v>986</v>
      </c>
      <c r="N996" s="2" t="s">
        <v>500</v>
      </c>
      <c r="O996" s="2"/>
    </row>
    <row r="997" spans="1:15" x14ac:dyDescent="0.25">
      <c r="A997" s="2" t="s">
        <v>15</v>
      </c>
      <c r="B997" s="2" t="str">
        <f>"FES1162768834"</f>
        <v>FES1162768834</v>
      </c>
      <c r="C997" s="2" t="s">
        <v>698</v>
      </c>
      <c r="D997" s="2">
        <v>1</v>
      </c>
      <c r="E997" s="2" t="str">
        <f>"2170753868"</f>
        <v>2170753868</v>
      </c>
      <c r="F997" s="2" t="s">
        <v>17</v>
      </c>
      <c r="G997" s="2" t="s">
        <v>18</v>
      </c>
      <c r="H997" s="2" t="s">
        <v>19</v>
      </c>
      <c r="I997" s="2" t="s">
        <v>73</v>
      </c>
      <c r="J997" s="2" t="s">
        <v>76</v>
      </c>
      <c r="K997" s="2" t="s">
        <v>802</v>
      </c>
      <c r="L997" s="3">
        <v>0.32083333333333336</v>
      </c>
      <c r="M997" s="2" t="s">
        <v>197</v>
      </c>
      <c r="N997" s="2" t="s">
        <v>500</v>
      </c>
      <c r="O997" s="2"/>
    </row>
    <row r="998" spans="1:15" x14ac:dyDescent="0.25">
      <c r="A998" s="2" t="s">
        <v>15</v>
      </c>
      <c r="B998" s="2" t="str">
        <f>"FES1162768892"</f>
        <v>FES1162768892</v>
      </c>
      <c r="C998" s="2" t="s">
        <v>698</v>
      </c>
      <c r="D998" s="2">
        <v>1</v>
      </c>
      <c r="E998" s="2" t="str">
        <f>"2170756049"</f>
        <v>2170756049</v>
      </c>
      <c r="F998" s="2" t="s">
        <v>17</v>
      </c>
      <c r="G998" s="2" t="s">
        <v>18</v>
      </c>
      <c r="H998" s="2" t="s">
        <v>19</v>
      </c>
      <c r="I998" s="2" t="s">
        <v>111</v>
      </c>
      <c r="J998" s="2" t="s">
        <v>405</v>
      </c>
      <c r="K998" s="2" t="s">
        <v>802</v>
      </c>
      <c r="L998" s="3">
        <v>0.33333333333333331</v>
      </c>
      <c r="M998" s="2" t="s">
        <v>714</v>
      </c>
      <c r="N998" s="2" t="s">
        <v>500</v>
      </c>
      <c r="O998" s="2"/>
    </row>
    <row r="999" spans="1:15" x14ac:dyDescent="0.25">
      <c r="A999" s="2" t="s">
        <v>15</v>
      </c>
      <c r="B999" s="2" t="str">
        <f>"FES1162768748"</f>
        <v>FES1162768748</v>
      </c>
      <c r="C999" s="2" t="s">
        <v>698</v>
      </c>
      <c r="D999" s="2">
        <v>1</v>
      </c>
      <c r="E999" s="2" t="str">
        <f>"2170756137"</f>
        <v>2170756137</v>
      </c>
      <c r="F999" s="2" t="s">
        <v>17</v>
      </c>
      <c r="G999" s="2" t="s">
        <v>18</v>
      </c>
      <c r="H999" s="2" t="s">
        <v>19</v>
      </c>
      <c r="I999" s="2" t="s">
        <v>20</v>
      </c>
      <c r="J999" s="2" t="s">
        <v>123</v>
      </c>
      <c r="K999" s="2" t="s">
        <v>802</v>
      </c>
      <c r="L999" s="3">
        <v>0.58750000000000002</v>
      </c>
      <c r="M999" s="2" t="s">
        <v>233</v>
      </c>
      <c r="N999" s="2" t="s">
        <v>500</v>
      </c>
      <c r="O999" s="2"/>
    </row>
    <row r="1000" spans="1:15" x14ac:dyDescent="0.25">
      <c r="A1000" s="2" t="s">
        <v>15</v>
      </c>
      <c r="B1000" s="2" t="str">
        <f>"FES1162768833"</f>
        <v>FES1162768833</v>
      </c>
      <c r="C1000" s="2" t="s">
        <v>698</v>
      </c>
      <c r="D1000" s="2">
        <v>1</v>
      </c>
      <c r="E1000" s="2" t="str">
        <f>"2170753867"</f>
        <v>2170753867</v>
      </c>
      <c r="F1000" s="2" t="s">
        <v>17</v>
      </c>
      <c r="G1000" s="2" t="s">
        <v>18</v>
      </c>
      <c r="H1000" s="2" t="s">
        <v>19</v>
      </c>
      <c r="I1000" s="2" t="s">
        <v>73</v>
      </c>
      <c r="J1000" s="2" t="s">
        <v>76</v>
      </c>
      <c r="K1000" s="2" t="s">
        <v>802</v>
      </c>
      <c r="L1000" s="3">
        <v>0.31944444444444448</v>
      </c>
      <c r="M1000" s="2" t="s">
        <v>197</v>
      </c>
      <c r="N1000" s="2" t="s">
        <v>500</v>
      </c>
      <c r="O1000" s="2"/>
    </row>
    <row r="1001" spans="1:15" x14ac:dyDescent="0.25">
      <c r="A1001" s="2" t="s">
        <v>15</v>
      </c>
      <c r="B1001" s="2" t="str">
        <f>"FES1162768693"</f>
        <v>FES1162768693</v>
      </c>
      <c r="C1001" s="2" t="s">
        <v>698</v>
      </c>
      <c r="D1001" s="2">
        <v>1</v>
      </c>
      <c r="E1001" s="2" t="str">
        <f>"2170755923"</f>
        <v>2170755923</v>
      </c>
      <c r="F1001" s="2" t="s">
        <v>17</v>
      </c>
      <c r="G1001" s="2" t="s">
        <v>18</v>
      </c>
      <c r="H1001" s="2" t="s">
        <v>18</v>
      </c>
      <c r="I1001" s="2" t="s">
        <v>290</v>
      </c>
      <c r="J1001" s="2" t="s">
        <v>492</v>
      </c>
      <c r="K1001" s="2" t="s">
        <v>802</v>
      </c>
      <c r="L1001" s="3">
        <v>0.33333333333333331</v>
      </c>
      <c r="M1001" s="2" t="s">
        <v>987</v>
      </c>
      <c r="N1001" s="2" t="s">
        <v>500</v>
      </c>
      <c r="O1001" s="2"/>
    </row>
    <row r="1002" spans="1:15" x14ac:dyDescent="0.25">
      <c r="A1002" s="2" t="s">
        <v>15</v>
      </c>
      <c r="B1002" s="2" t="str">
        <f>"FES1162768904"</f>
        <v>FES1162768904</v>
      </c>
      <c r="C1002" s="2" t="s">
        <v>698</v>
      </c>
      <c r="D1002" s="2">
        <v>1</v>
      </c>
      <c r="E1002" s="2" t="str">
        <f>"2170756492"</f>
        <v>2170756492</v>
      </c>
      <c r="F1002" s="2" t="s">
        <v>17</v>
      </c>
      <c r="G1002" s="2" t="s">
        <v>18</v>
      </c>
      <c r="H1002" s="2" t="s">
        <v>18</v>
      </c>
      <c r="I1002" s="2" t="s">
        <v>46</v>
      </c>
      <c r="J1002" s="2" t="s">
        <v>59</v>
      </c>
      <c r="K1002" s="2" t="s">
        <v>802</v>
      </c>
      <c r="L1002" s="3">
        <v>0.32083333333333336</v>
      </c>
      <c r="M1002" s="2" t="s">
        <v>988</v>
      </c>
      <c r="N1002" s="2" t="s">
        <v>500</v>
      </c>
      <c r="O1002" s="2"/>
    </row>
    <row r="1003" spans="1:15" x14ac:dyDescent="0.25">
      <c r="A1003" s="2" t="s">
        <v>15</v>
      </c>
      <c r="B1003" s="2" t="str">
        <f>"FES1162768573"</f>
        <v>FES1162768573</v>
      </c>
      <c r="C1003" s="2" t="s">
        <v>698</v>
      </c>
      <c r="D1003" s="2">
        <v>1</v>
      </c>
      <c r="E1003" s="2" t="str">
        <f>"2170753956"</f>
        <v>2170753956</v>
      </c>
      <c r="F1003" s="2" t="s">
        <v>17</v>
      </c>
      <c r="G1003" s="2" t="s">
        <v>18</v>
      </c>
      <c r="H1003" s="2" t="s">
        <v>18</v>
      </c>
      <c r="I1003" s="2" t="s">
        <v>46</v>
      </c>
      <c r="J1003" s="2" t="s">
        <v>139</v>
      </c>
      <c r="K1003" s="2" t="s">
        <v>802</v>
      </c>
      <c r="L1003" s="3">
        <v>0.2951388888888889</v>
      </c>
      <c r="M1003" s="2" t="s">
        <v>989</v>
      </c>
      <c r="N1003" s="2" t="s">
        <v>500</v>
      </c>
      <c r="O1003" s="2"/>
    </row>
    <row r="1004" spans="1:15" x14ac:dyDescent="0.25">
      <c r="A1004" s="2" t="s">
        <v>15</v>
      </c>
      <c r="B1004" s="2" t="str">
        <f>"FES1162768672"</f>
        <v>FES1162768672</v>
      </c>
      <c r="C1004" s="2" t="s">
        <v>698</v>
      </c>
      <c r="D1004" s="2">
        <v>1</v>
      </c>
      <c r="E1004" s="2" t="str">
        <f>"2170754826"</f>
        <v>2170754826</v>
      </c>
      <c r="F1004" s="2" t="s">
        <v>17</v>
      </c>
      <c r="G1004" s="2" t="s">
        <v>18</v>
      </c>
      <c r="H1004" s="2" t="s">
        <v>18</v>
      </c>
      <c r="I1004" s="2" t="s">
        <v>63</v>
      </c>
      <c r="J1004" s="2" t="s">
        <v>899</v>
      </c>
      <c r="K1004" s="2" t="s">
        <v>802</v>
      </c>
      <c r="L1004" s="3">
        <v>0.41319444444444442</v>
      </c>
      <c r="M1004" s="2" t="s">
        <v>990</v>
      </c>
      <c r="N1004" s="2" t="s">
        <v>500</v>
      </c>
      <c r="O1004" s="2"/>
    </row>
    <row r="1005" spans="1:15" x14ac:dyDescent="0.25">
      <c r="A1005" s="2" t="s">
        <v>15</v>
      </c>
      <c r="B1005" s="2" t="str">
        <f>"FES1162768494"</f>
        <v>FES1162768494</v>
      </c>
      <c r="C1005" s="2" t="s">
        <v>698</v>
      </c>
      <c r="D1005" s="2">
        <v>1</v>
      </c>
      <c r="E1005" s="2" t="str">
        <f>"2170755061"</f>
        <v>2170755061</v>
      </c>
      <c r="F1005" s="2" t="s">
        <v>17</v>
      </c>
      <c r="G1005" s="2" t="s">
        <v>18</v>
      </c>
      <c r="H1005" s="2" t="s">
        <v>18</v>
      </c>
      <c r="I1005" s="2" t="s">
        <v>63</v>
      </c>
      <c r="J1005" s="2" t="s">
        <v>93</v>
      </c>
      <c r="K1005" s="2" t="s">
        <v>802</v>
      </c>
      <c r="L1005" s="3">
        <v>0.38750000000000001</v>
      </c>
      <c r="M1005" s="2" t="s">
        <v>210</v>
      </c>
      <c r="N1005" s="2" t="s">
        <v>500</v>
      </c>
      <c r="O1005" s="2"/>
    </row>
    <row r="1006" spans="1:15" x14ac:dyDescent="0.25">
      <c r="A1006" s="2" t="s">
        <v>15</v>
      </c>
      <c r="B1006" s="2" t="str">
        <f>"FES1162768871"</f>
        <v>FES1162768871</v>
      </c>
      <c r="C1006" s="2" t="s">
        <v>698</v>
      </c>
      <c r="D1006" s="2">
        <v>1</v>
      </c>
      <c r="E1006" s="2" t="str">
        <f>"2170754303"</f>
        <v>2170754303</v>
      </c>
      <c r="F1006" s="2" t="s">
        <v>17</v>
      </c>
      <c r="G1006" s="2" t="s">
        <v>18</v>
      </c>
      <c r="H1006" s="2" t="s">
        <v>18</v>
      </c>
      <c r="I1006" s="2" t="s">
        <v>65</v>
      </c>
      <c r="J1006" s="2" t="s">
        <v>66</v>
      </c>
      <c r="K1006" s="2" t="s">
        <v>802</v>
      </c>
      <c r="L1006" s="3">
        <v>0.3298611111111111</v>
      </c>
      <c r="M1006" s="2" t="s">
        <v>697</v>
      </c>
      <c r="N1006" s="2" t="s">
        <v>500</v>
      </c>
      <c r="O1006" s="2"/>
    </row>
    <row r="1007" spans="1:15" x14ac:dyDescent="0.25">
      <c r="A1007" s="2" t="s">
        <v>15</v>
      </c>
      <c r="B1007" s="2" t="str">
        <f>"FES1162768796"</f>
        <v>FES1162768796</v>
      </c>
      <c r="C1007" s="2" t="s">
        <v>698</v>
      </c>
      <c r="D1007" s="2">
        <v>1</v>
      </c>
      <c r="E1007" s="2" t="str">
        <f>"2170754402"</f>
        <v>2170754402</v>
      </c>
      <c r="F1007" s="2" t="s">
        <v>17</v>
      </c>
      <c r="G1007" s="2" t="s">
        <v>18</v>
      </c>
      <c r="H1007" s="2" t="s">
        <v>18</v>
      </c>
      <c r="I1007" s="2" t="s">
        <v>57</v>
      </c>
      <c r="J1007" s="2" t="s">
        <v>91</v>
      </c>
      <c r="K1007" s="2" t="s">
        <v>802</v>
      </c>
      <c r="L1007" s="3">
        <v>0.26944444444444443</v>
      </c>
      <c r="M1007" s="2" t="s">
        <v>209</v>
      </c>
      <c r="N1007" s="2" t="s">
        <v>500</v>
      </c>
      <c r="O1007" s="2"/>
    </row>
    <row r="1008" spans="1:15" x14ac:dyDescent="0.25">
      <c r="A1008" s="2" t="s">
        <v>15</v>
      </c>
      <c r="B1008" s="2" t="str">
        <f>"FES1162768682"</f>
        <v>FES1162768682</v>
      </c>
      <c r="C1008" s="2" t="s">
        <v>698</v>
      </c>
      <c r="D1008" s="2">
        <v>1</v>
      </c>
      <c r="E1008" s="2" t="str">
        <f>"2170755391"</f>
        <v>2170755391</v>
      </c>
      <c r="F1008" s="2" t="s">
        <v>17</v>
      </c>
      <c r="G1008" s="2" t="s">
        <v>18</v>
      </c>
      <c r="H1008" s="2" t="s">
        <v>18</v>
      </c>
      <c r="I1008" s="2" t="s">
        <v>48</v>
      </c>
      <c r="J1008" s="2" t="s">
        <v>49</v>
      </c>
      <c r="K1008" s="2" t="s">
        <v>802</v>
      </c>
      <c r="L1008" s="3">
        <v>0.33333333333333331</v>
      </c>
      <c r="M1008" s="2" t="s">
        <v>215</v>
      </c>
      <c r="N1008" s="2" t="s">
        <v>500</v>
      </c>
      <c r="O1008" s="2"/>
    </row>
    <row r="1009" spans="1:15" x14ac:dyDescent="0.25">
      <c r="A1009" s="2" t="s">
        <v>15</v>
      </c>
      <c r="B1009" s="2" t="str">
        <f>"FES1162768697"</f>
        <v>FES1162768697</v>
      </c>
      <c r="C1009" s="2" t="s">
        <v>698</v>
      </c>
      <c r="D1009" s="2">
        <v>1</v>
      </c>
      <c r="E1009" s="2" t="str">
        <f>"2170766174"</f>
        <v>2170766174</v>
      </c>
      <c r="F1009" s="2" t="s">
        <v>17</v>
      </c>
      <c r="G1009" s="2" t="s">
        <v>18</v>
      </c>
      <c r="H1009" s="2" t="s">
        <v>25</v>
      </c>
      <c r="I1009" s="2" t="s">
        <v>39</v>
      </c>
      <c r="J1009" s="2" t="s">
        <v>40</v>
      </c>
      <c r="K1009" s="2" t="s">
        <v>802</v>
      </c>
      <c r="L1009" s="3">
        <v>0.48749999999999999</v>
      </c>
      <c r="M1009" s="2" t="s">
        <v>991</v>
      </c>
      <c r="N1009" s="2" t="s">
        <v>500</v>
      </c>
      <c r="O1009" s="2"/>
    </row>
    <row r="1010" spans="1:15" x14ac:dyDescent="0.25">
      <c r="A1010" s="2" t="s">
        <v>15</v>
      </c>
      <c r="B1010" s="2" t="str">
        <f>"FES1162768670"</f>
        <v>FES1162768670</v>
      </c>
      <c r="C1010" s="2" t="s">
        <v>698</v>
      </c>
      <c r="D1010" s="2">
        <v>1</v>
      </c>
      <c r="E1010" s="2" t="str">
        <f>"2170754465"</f>
        <v>2170754465</v>
      </c>
      <c r="F1010" s="2" t="s">
        <v>17</v>
      </c>
      <c r="G1010" s="2" t="s">
        <v>18</v>
      </c>
      <c r="H1010" s="2" t="s">
        <v>19</v>
      </c>
      <c r="I1010" s="2" t="s">
        <v>73</v>
      </c>
      <c r="J1010" s="2" t="s">
        <v>76</v>
      </c>
      <c r="K1010" s="2" t="s">
        <v>802</v>
      </c>
      <c r="L1010" s="3">
        <v>0.32013888888888892</v>
      </c>
      <c r="M1010" s="2" t="s">
        <v>197</v>
      </c>
      <c r="N1010" s="2" t="s">
        <v>500</v>
      </c>
      <c r="O1010" s="2"/>
    </row>
    <row r="1011" spans="1:15" x14ac:dyDescent="0.25">
      <c r="A1011" s="2" t="s">
        <v>15</v>
      </c>
      <c r="B1011" s="2" t="str">
        <f>"FES1162768692"</f>
        <v>FES1162768692</v>
      </c>
      <c r="C1011" s="2" t="s">
        <v>698</v>
      </c>
      <c r="D1011" s="2">
        <v>1</v>
      </c>
      <c r="E1011" s="2" t="str">
        <f>"2170755904"</f>
        <v>2170755904</v>
      </c>
      <c r="F1011" s="2" t="s">
        <v>17</v>
      </c>
      <c r="G1011" s="2" t="s">
        <v>18</v>
      </c>
      <c r="H1011" s="2" t="s">
        <v>25</v>
      </c>
      <c r="I1011" s="2" t="s">
        <v>26</v>
      </c>
      <c r="J1011" s="2" t="s">
        <v>100</v>
      </c>
      <c r="K1011" s="2" t="s">
        <v>802</v>
      </c>
      <c r="L1011" s="3">
        <v>0.36319444444444443</v>
      </c>
      <c r="M1011" s="2" t="s">
        <v>935</v>
      </c>
      <c r="N1011" s="2" t="s">
        <v>500</v>
      </c>
      <c r="O1011" s="2"/>
    </row>
    <row r="1012" spans="1:15" x14ac:dyDescent="0.25">
      <c r="A1012" s="2" t="s">
        <v>15</v>
      </c>
      <c r="B1012" s="2" t="str">
        <f>"FES1162768747"</f>
        <v>FES1162768747</v>
      </c>
      <c r="C1012" s="2" t="s">
        <v>698</v>
      </c>
      <c r="D1012" s="2">
        <v>1</v>
      </c>
      <c r="E1012" s="2" t="str">
        <f>"2170755269"</f>
        <v>2170755269</v>
      </c>
      <c r="F1012" s="2" t="s">
        <v>17</v>
      </c>
      <c r="G1012" s="2" t="s">
        <v>18</v>
      </c>
      <c r="H1012" s="2" t="s">
        <v>88</v>
      </c>
      <c r="I1012" s="2" t="s">
        <v>109</v>
      </c>
      <c r="J1012" s="2" t="s">
        <v>904</v>
      </c>
      <c r="K1012" s="2" t="s">
        <v>802</v>
      </c>
      <c r="L1012" s="3">
        <v>0.38472222222222219</v>
      </c>
      <c r="M1012" s="2" t="s">
        <v>992</v>
      </c>
      <c r="N1012" s="2" t="s">
        <v>500</v>
      </c>
      <c r="O1012" s="2"/>
    </row>
    <row r="1013" spans="1:15" x14ac:dyDescent="0.25">
      <c r="A1013" s="2" t="s">
        <v>15</v>
      </c>
      <c r="B1013" s="2" t="str">
        <f>"FES1162768927"</f>
        <v>FES1162768927</v>
      </c>
      <c r="C1013" s="2" t="s">
        <v>698</v>
      </c>
      <c r="D1013" s="2">
        <v>1</v>
      </c>
      <c r="E1013" s="2" t="str">
        <f>"2170756507"</f>
        <v>2170756507</v>
      </c>
      <c r="F1013" s="2" t="s">
        <v>17</v>
      </c>
      <c r="G1013" s="2" t="s">
        <v>18</v>
      </c>
      <c r="H1013" s="2" t="s">
        <v>30</v>
      </c>
      <c r="I1013" s="2" t="s">
        <v>444</v>
      </c>
      <c r="J1013" s="2" t="s">
        <v>445</v>
      </c>
      <c r="K1013" s="2" t="s">
        <v>802</v>
      </c>
      <c r="L1013" s="3">
        <v>0.50416666666666665</v>
      </c>
      <c r="M1013" s="2" t="s">
        <v>552</v>
      </c>
      <c r="N1013" s="2" t="s">
        <v>500</v>
      </c>
      <c r="O1013" s="2"/>
    </row>
    <row r="1014" spans="1:15" x14ac:dyDescent="0.25">
      <c r="A1014" s="2" t="s">
        <v>15</v>
      </c>
      <c r="B1014" s="2" t="str">
        <f>"FES1162768755"</f>
        <v>FES1162768755</v>
      </c>
      <c r="C1014" s="2" t="s">
        <v>698</v>
      </c>
      <c r="D1014" s="2">
        <v>1</v>
      </c>
      <c r="E1014" s="2" t="str">
        <f>"2170756463"</f>
        <v>2170756463</v>
      </c>
      <c r="F1014" s="2" t="s">
        <v>17</v>
      </c>
      <c r="G1014" s="2" t="s">
        <v>18</v>
      </c>
      <c r="H1014" s="2" t="s">
        <v>33</v>
      </c>
      <c r="I1014" s="2" t="s">
        <v>34</v>
      </c>
      <c r="J1014" s="2" t="s">
        <v>868</v>
      </c>
      <c r="K1014" s="2" t="s">
        <v>802</v>
      </c>
      <c r="L1014" s="3">
        <v>0.43333333333333335</v>
      </c>
      <c r="M1014" s="2" t="s">
        <v>861</v>
      </c>
      <c r="N1014" s="2" t="s">
        <v>500</v>
      </c>
      <c r="O1014" s="2"/>
    </row>
    <row r="1015" spans="1:15" x14ac:dyDescent="0.25">
      <c r="A1015" s="2" t="s">
        <v>15</v>
      </c>
      <c r="B1015" s="2" t="str">
        <f>"FES1162768811"</f>
        <v>FES1162768811</v>
      </c>
      <c r="C1015" s="2" t="s">
        <v>698</v>
      </c>
      <c r="D1015" s="2">
        <v>1</v>
      </c>
      <c r="E1015" s="2" t="str">
        <f>"2170755735"</f>
        <v>2170755735</v>
      </c>
      <c r="F1015" s="2" t="s">
        <v>17</v>
      </c>
      <c r="G1015" s="2" t="s">
        <v>18</v>
      </c>
      <c r="H1015" s="2" t="s">
        <v>36</v>
      </c>
      <c r="I1015" s="2" t="s">
        <v>37</v>
      </c>
      <c r="J1015" s="2" t="s">
        <v>102</v>
      </c>
      <c r="K1015" s="2" t="s">
        <v>802</v>
      </c>
      <c r="L1015" s="3">
        <v>0.33333333333333331</v>
      </c>
      <c r="M1015" s="2" t="s">
        <v>993</v>
      </c>
      <c r="N1015" s="2" t="s">
        <v>500</v>
      </c>
      <c r="O1015" s="2"/>
    </row>
    <row r="1016" spans="1:15" x14ac:dyDescent="0.25">
      <c r="A1016" s="2" t="s">
        <v>15</v>
      </c>
      <c r="B1016" s="2" t="str">
        <f>"FES1162768992"</f>
        <v>FES1162768992</v>
      </c>
      <c r="C1016" s="2" t="s">
        <v>698</v>
      </c>
      <c r="D1016" s="2">
        <v>1</v>
      </c>
      <c r="E1016" s="2" t="str">
        <f>"2170755215"</f>
        <v>2170755215</v>
      </c>
      <c r="F1016" s="2" t="s">
        <v>17</v>
      </c>
      <c r="G1016" s="2" t="s">
        <v>18</v>
      </c>
      <c r="H1016" s="2" t="s">
        <v>25</v>
      </c>
      <c r="I1016" s="2" t="s">
        <v>26</v>
      </c>
      <c r="J1016" s="2" t="s">
        <v>757</v>
      </c>
      <c r="K1016" s="2" t="s">
        <v>802</v>
      </c>
      <c r="L1016" s="3">
        <v>0.36319444444444443</v>
      </c>
      <c r="M1016" s="2" t="s">
        <v>814</v>
      </c>
      <c r="N1016" s="2" t="s">
        <v>500</v>
      </c>
      <c r="O1016" s="2"/>
    </row>
    <row r="1017" spans="1:15" x14ac:dyDescent="0.25">
      <c r="A1017" s="2" t="s">
        <v>15</v>
      </c>
      <c r="B1017" s="2" t="str">
        <f>"FES1162768751"</f>
        <v>FES1162768751</v>
      </c>
      <c r="C1017" s="2" t="s">
        <v>698</v>
      </c>
      <c r="D1017" s="2">
        <v>1</v>
      </c>
      <c r="E1017" s="2" t="str">
        <f>"2170756458"</f>
        <v>2170756458</v>
      </c>
      <c r="F1017" s="2" t="s">
        <v>17</v>
      </c>
      <c r="G1017" s="2" t="s">
        <v>18</v>
      </c>
      <c r="H1017" s="2" t="s">
        <v>36</v>
      </c>
      <c r="I1017" s="2" t="s">
        <v>37</v>
      </c>
      <c r="J1017" s="2" t="s">
        <v>280</v>
      </c>
      <c r="K1017" s="2" t="s">
        <v>802</v>
      </c>
      <c r="L1017" s="3">
        <v>0.5</v>
      </c>
      <c r="M1017" s="2" t="s">
        <v>994</v>
      </c>
      <c r="N1017" s="2" t="s">
        <v>500</v>
      </c>
      <c r="O1017" s="2"/>
    </row>
    <row r="1018" spans="1:15" x14ac:dyDescent="0.25">
      <c r="A1018" s="2" t="s">
        <v>15</v>
      </c>
      <c r="B1018" s="2" t="str">
        <f>"FES1162768703"</f>
        <v>FES1162768703</v>
      </c>
      <c r="C1018" s="2" t="s">
        <v>698</v>
      </c>
      <c r="D1018" s="2">
        <v>1</v>
      </c>
      <c r="E1018" s="2" t="str">
        <f>"2170756444"</f>
        <v>2170756444</v>
      </c>
      <c r="F1018" s="2" t="s">
        <v>17</v>
      </c>
      <c r="G1018" s="2" t="s">
        <v>18</v>
      </c>
      <c r="H1018" s="2" t="s">
        <v>33</v>
      </c>
      <c r="I1018" s="2" t="s">
        <v>34</v>
      </c>
      <c r="J1018" s="2" t="s">
        <v>868</v>
      </c>
      <c r="K1018" s="2" t="s">
        <v>802</v>
      </c>
      <c r="L1018" s="3">
        <v>0.43333333333333335</v>
      </c>
      <c r="M1018" s="2" t="s">
        <v>861</v>
      </c>
      <c r="N1018" s="2" t="s">
        <v>500</v>
      </c>
      <c r="O1018" s="2"/>
    </row>
    <row r="1019" spans="1:15" x14ac:dyDescent="0.25">
      <c r="A1019" s="2" t="s">
        <v>15</v>
      </c>
      <c r="B1019" s="2" t="str">
        <f>"FES1162768553"</f>
        <v>FES1162768553</v>
      </c>
      <c r="C1019" s="2" t="s">
        <v>698</v>
      </c>
      <c r="D1019" s="2">
        <v>1</v>
      </c>
      <c r="E1019" s="2" t="str">
        <f>"2170753194"</f>
        <v>2170753194</v>
      </c>
      <c r="F1019" s="2" t="s">
        <v>17</v>
      </c>
      <c r="G1019" s="2" t="s">
        <v>18</v>
      </c>
      <c r="H1019" s="2" t="s">
        <v>36</v>
      </c>
      <c r="I1019" s="2" t="s">
        <v>37</v>
      </c>
      <c r="J1019" s="2" t="s">
        <v>162</v>
      </c>
      <c r="K1019" s="2" t="s">
        <v>802</v>
      </c>
      <c r="L1019" s="3">
        <v>0.34027777777777773</v>
      </c>
      <c r="M1019" s="2" t="s">
        <v>268</v>
      </c>
      <c r="N1019" s="2" t="s">
        <v>500</v>
      </c>
      <c r="O1019" s="2"/>
    </row>
    <row r="1020" spans="1:15" x14ac:dyDescent="0.25">
      <c r="A1020" s="2" t="s">
        <v>15</v>
      </c>
      <c r="B1020" s="2" t="str">
        <f>"FES1162768581"</f>
        <v>FES1162768581</v>
      </c>
      <c r="C1020" s="2" t="s">
        <v>698</v>
      </c>
      <c r="D1020" s="2">
        <v>1</v>
      </c>
      <c r="E1020" s="2" t="str">
        <f>"2170754025"</f>
        <v>2170754025</v>
      </c>
      <c r="F1020" s="2" t="s">
        <v>17</v>
      </c>
      <c r="G1020" s="2" t="s">
        <v>18</v>
      </c>
      <c r="H1020" s="2" t="s">
        <v>36</v>
      </c>
      <c r="I1020" s="2" t="s">
        <v>496</v>
      </c>
      <c r="J1020" s="2" t="s">
        <v>497</v>
      </c>
      <c r="K1020" s="2" t="s">
        <v>1008</v>
      </c>
      <c r="L1020" s="3">
        <v>0.6069444444444444</v>
      </c>
      <c r="M1020" s="2" t="s">
        <v>726</v>
      </c>
      <c r="N1020" s="2" t="s">
        <v>500</v>
      </c>
      <c r="O1020" s="2"/>
    </row>
    <row r="1021" spans="1:15" x14ac:dyDescent="0.25">
      <c r="A1021" s="2" t="s">
        <v>15</v>
      </c>
      <c r="B1021" s="2" t="str">
        <f>"FES1162768495"</f>
        <v>FES1162768495</v>
      </c>
      <c r="C1021" s="2" t="s">
        <v>698</v>
      </c>
      <c r="D1021" s="2">
        <v>1</v>
      </c>
      <c r="E1021" s="2" t="str">
        <f>"2170755106"</f>
        <v>2170755106</v>
      </c>
      <c r="F1021" s="2" t="s">
        <v>17</v>
      </c>
      <c r="G1021" s="2" t="s">
        <v>18</v>
      </c>
      <c r="H1021" s="2" t="s">
        <v>36</v>
      </c>
      <c r="I1021" s="2" t="s">
        <v>37</v>
      </c>
      <c r="J1021" s="2" t="s">
        <v>376</v>
      </c>
      <c r="K1021" s="2" t="s">
        <v>802</v>
      </c>
      <c r="L1021" s="3">
        <v>0.42986111111111108</v>
      </c>
      <c r="M1021" s="2" t="s">
        <v>995</v>
      </c>
      <c r="N1021" s="2" t="s">
        <v>500</v>
      </c>
      <c r="O1021" s="2"/>
    </row>
    <row r="1022" spans="1:15" x14ac:dyDescent="0.25">
      <c r="A1022" s="2" t="s">
        <v>15</v>
      </c>
      <c r="B1022" s="2" t="str">
        <f>"FES1162768746"</f>
        <v>FES1162768746</v>
      </c>
      <c r="C1022" s="2" t="s">
        <v>698</v>
      </c>
      <c r="D1022" s="2">
        <v>1</v>
      </c>
      <c r="E1022" s="2" t="str">
        <f>"2170754914"</f>
        <v>2170754914</v>
      </c>
      <c r="F1022" s="2" t="s">
        <v>17</v>
      </c>
      <c r="G1022" s="2" t="s">
        <v>18</v>
      </c>
      <c r="H1022" s="2" t="s">
        <v>36</v>
      </c>
      <c r="I1022" s="2" t="s">
        <v>67</v>
      </c>
      <c r="J1022" s="2" t="s">
        <v>146</v>
      </c>
      <c r="K1022" s="2" t="s">
        <v>802</v>
      </c>
      <c r="L1022" s="3">
        <v>0.41666666666666669</v>
      </c>
      <c r="M1022" s="2" t="s">
        <v>244</v>
      </c>
      <c r="N1022" s="2" t="s">
        <v>500</v>
      </c>
      <c r="O1022" s="2"/>
    </row>
    <row r="1023" spans="1:15" x14ac:dyDescent="0.25">
      <c r="A1023" s="2" t="s">
        <v>15</v>
      </c>
      <c r="B1023" s="2" t="str">
        <f>"FES1162768865"</f>
        <v>FES1162768865</v>
      </c>
      <c r="C1023" s="2" t="s">
        <v>698</v>
      </c>
      <c r="D1023" s="2">
        <v>1</v>
      </c>
      <c r="E1023" s="2" t="str">
        <f>"2170754240"</f>
        <v>2170754240</v>
      </c>
      <c r="F1023" s="2" t="s">
        <v>17</v>
      </c>
      <c r="G1023" s="2" t="s">
        <v>18</v>
      </c>
      <c r="H1023" s="2" t="s">
        <v>33</v>
      </c>
      <c r="I1023" s="2" t="s">
        <v>34</v>
      </c>
      <c r="J1023" s="2" t="s">
        <v>868</v>
      </c>
      <c r="K1023" s="2" t="s">
        <v>802</v>
      </c>
      <c r="L1023" s="3">
        <v>0.38194444444444442</v>
      </c>
      <c r="M1023" s="2" t="s">
        <v>861</v>
      </c>
      <c r="N1023" s="2" t="s">
        <v>500</v>
      </c>
      <c r="O1023" s="2"/>
    </row>
    <row r="1024" spans="1:15" x14ac:dyDescent="0.25">
      <c r="A1024" s="2" t="s">
        <v>15</v>
      </c>
      <c r="B1024" s="2" t="str">
        <f>"FES1162768794"</f>
        <v>FES1162768794</v>
      </c>
      <c r="C1024" s="2" t="s">
        <v>698</v>
      </c>
      <c r="D1024" s="2">
        <v>1</v>
      </c>
      <c r="E1024" s="2" t="str">
        <f>"2170754376"</f>
        <v>2170754376</v>
      </c>
      <c r="F1024" s="2" t="s">
        <v>17</v>
      </c>
      <c r="G1024" s="2" t="s">
        <v>18</v>
      </c>
      <c r="H1024" s="2" t="s">
        <v>25</v>
      </c>
      <c r="I1024" s="2" t="s">
        <v>26</v>
      </c>
      <c r="J1024" s="2" t="s">
        <v>27</v>
      </c>
      <c r="K1024" s="2" t="s">
        <v>802</v>
      </c>
      <c r="L1024" s="3">
        <v>0.41666666666666669</v>
      </c>
      <c r="M1024" s="2" t="s">
        <v>171</v>
      </c>
      <c r="N1024" s="2" t="s">
        <v>500</v>
      </c>
      <c r="O1024" s="2"/>
    </row>
    <row r="1025" spans="1:15" x14ac:dyDescent="0.25">
      <c r="A1025" s="2" t="s">
        <v>15</v>
      </c>
      <c r="B1025" s="2" t="str">
        <f>"FES1162768641"</f>
        <v>FES1162768641</v>
      </c>
      <c r="C1025" s="2" t="s">
        <v>698</v>
      </c>
      <c r="D1025" s="2">
        <v>1</v>
      </c>
      <c r="E1025" s="2" t="str">
        <f>"2170753450"</f>
        <v>2170753450</v>
      </c>
      <c r="F1025" s="2" t="s">
        <v>17</v>
      </c>
      <c r="G1025" s="2" t="s">
        <v>18</v>
      </c>
      <c r="H1025" s="2" t="s">
        <v>25</v>
      </c>
      <c r="I1025" s="2" t="s">
        <v>26</v>
      </c>
      <c r="J1025" s="2" t="s">
        <v>654</v>
      </c>
      <c r="K1025" s="2" t="s">
        <v>802</v>
      </c>
      <c r="L1025" s="3">
        <v>0.32916666666666666</v>
      </c>
      <c r="M1025" s="2" t="s">
        <v>905</v>
      </c>
      <c r="N1025" s="2" t="s">
        <v>500</v>
      </c>
      <c r="O1025" s="2"/>
    </row>
    <row r="1026" spans="1:15" x14ac:dyDescent="0.25">
      <c r="A1026" s="2" t="s">
        <v>15</v>
      </c>
      <c r="B1026" s="2" t="str">
        <f>"FES1162768803"</f>
        <v>FES1162768803</v>
      </c>
      <c r="C1026" s="2" t="s">
        <v>698</v>
      </c>
      <c r="D1026" s="2">
        <v>1</v>
      </c>
      <c r="E1026" s="2" t="str">
        <f>"2170754459"</f>
        <v>2170754459</v>
      </c>
      <c r="F1026" s="2" t="s">
        <v>17</v>
      </c>
      <c r="G1026" s="2" t="s">
        <v>18</v>
      </c>
      <c r="H1026" s="2" t="s">
        <v>25</v>
      </c>
      <c r="I1026" s="2" t="s">
        <v>26</v>
      </c>
      <c r="J1026" s="2" t="s">
        <v>94</v>
      </c>
      <c r="K1026" s="2" t="s">
        <v>802</v>
      </c>
      <c r="L1026" s="3">
        <v>0.41666666666666669</v>
      </c>
      <c r="M1026" s="2" t="s">
        <v>932</v>
      </c>
      <c r="N1026" s="2" t="s">
        <v>500</v>
      </c>
      <c r="O1026" s="2"/>
    </row>
    <row r="1027" spans="1:15" x14ac:dyDescent="0.25">
      <c r="A1027" s="2" t="s">
        <v>15</v>
      </c>
      <c r="B1027" s="2" t="str">
        <f>"FES1162768605"</f>
        <v>FES1162768605</v>
      </c>
      <c r="C1027" s="2" t="s">
        <v>698</v>
      </c>
      <c r="D1027" s="2">
        <v>1</v>
      </c>
      <c r="E1027" s="2" t="str">
        <f>"2170755546"</f>
        <v>2170755546</v>
      </c>
      <c r="F1027" s="2" t="s">
        <v>17</v>
      </c>
      <c r="G1027" s="2" t="s">
        <v>18</v>
      </c>
      <c r="H1027" s="2" t="s">
        <v>36</v>
      </c>
      <c r="I1027" s="2" t="s">
        <v>37</v>
      </c>
      <c r="J1027" s="2" t="s">
        <v>303</v>
      </c>
      <c r="K1027" s="2" t="s">
        <v>802</v>
      </c>
      <c r="L1027" s="3">
        <v>0.34722222222222227</v>
      </c>
      <c r="M1027" s="2" t="s">
        <v>307</v>
      </c>
      <c r="N1027" s="2" t="s">
        <v>500</v>
      </c>
      <c r="O1027" s="2"/>
    </row>
    <row r="1028" spans="1:15" x14ac:dyDescent="0.25">
      <c r="A1028" s="2" t="s">
        <v>15</v>
      </c>
      <c r="B1028" s="2" t="str">
        <f>"FES1162768687"</f>
        <v>FES1162768687</v>
      </c>
      <c r="C1028" s="2" t="s">
        <v>698</v>
      </c>
      <c r="D1028" s="2">
        <v>1</v>
      </c>
      <c r="E1028" s="2" t="str">
        <f>"2170755631"</f>
        <v>2170755631</v>
      </c>
      <c r="F1028" s="2" t="s">
        <v>17</v>
      </c>
      <c r="G1028" s="2" t="s">
        <v>18</v>
      </c>
      <c r="H1028" s="2" t="s">
        <v>36</v>
      </c>
      <c r="I1028" s="2" t="s">
        <v>37</v>
      </c>
      <c r="J1028" s="2" t="s">
        <v>378</v>
      </c>
      <c r="K1028" s="2" t="s">
        <v>802</v>
      </c>
      <c r="L1028" s="3">
        <v>0.42708333333333331</v>
      </c>
      <c r="M1028" s="2" t="s">
        <v>939</v>
      </c>
      <c r="N1028" s="2" t="s">
        <v>500</v>
      </c>
      <c r="O1028" s="2"/>
    </row>
    <row r="1029" spans="1:15" x14ac:dyDescent="0.25">
      <c r="A1029" s="2" t="s">
        <v>15</v>
      </c>
      <c r="B1029" s="2" t="str">
        <f>"FES1162768640"</f>
        <v>FES1162768640</v>
      </c>
      <c r="C1029" s="2" t="s">
        <v>698</v>
      </c>
      <c r="D1029" s="2">
        <v>1</v>
      </c>
      <c r="E1029" s="2" t="str">
        <f>"2170753445"</f>
        <v>2170753445</v>
      </c>
      <c r="F1029" s="2" t="s">
        <v>17</v>
      </c>
      <c r="G1029" s="2" t="s">
        <v>18</v>
      </c>
      <c r="H1029" s="2" t="s">
        <v>36</v>
      </c>
      <c r="I1029" s="2" t="s">
        <v>37</v>
      </c>
      <c r="J1029" s="2" t="s">
        <v>646</v>
      </c>
      <c r="K1029" s="2" t="s">
        <v>802</v>
      </c>
      <c r="L1029" s="3">
        <v>0.37847222222222227</v>
      </c>
      <c r="M1029" s="2" t="s">
        <v>980</v>
      </c>
      <c r="N1029" s="2" t="s">
        <v>500</v>
      </c>
      <c r="O1029" s="2"/>
    </row>
    <row r="1030" spans="1:15" x14ac:dyDescent="0.25">
      <c r="A1030" s="2" t="s">
        <v>15</v>
      </c>
      <c r="B1030" s="2" t="str">
        <f>"FES1162768526"</f>
        <v>FES1162768526</v>
      </c>
      <c r="C1030" s="2" t="s">
        <v>698</v>
      </c>
      <c r="D1030" s="2">
        <v>1</v>
      </c>
      <c r="E1030" s="2" t="str">
        <f>"2170756413"</f>
        <v>2170756413</v>
      </c>
      <c r="F1030" s="2" t="s">
        <v>17</v>
      </c>
      <c r="G1030" s="2" t="s">
        <v>18</v>
      </c>
      <c r="H1030" s="2" t="s">
        <v>18</v>
      </c>
      <c r="I1030" s="2" t="s">
        <v>63</v>
      </c>
      <c r="J1030" s="2" t="s">
        <v>93</v>
      </c>
      <c r="K1030" s="2" t="s">
        <v>802</v>
      </c>
      <c r="L1030" s="3">
        <v>0.38541666666666669</v>
      </c>
      <c r="M1030" s="2" t="s">
        <v>996</v>
      </c>
      <c r="N1030" s="2" t="s">
        <v>500</v>
      </c>
      <c r="O1030" s="2"/>
    </row>
    <row r="1031" spans="1:15" x14ac:dyDescent="0.25">
      <c r="A1031" s="2" t="s">
        <v>15</v>
      </c>
      <c r="B1031" s="2" t="str">
        <f>"FES1162768536"</f>
        <v>FES1162768536</v>
      </c>
      <c r="C1031" s="2" t="s">
        <v>698</v>
      </c>
      <c r="D1031" s="2">
        <v>1</v>
      </c>
      <c r="E1031" s="2" t="str">
        <f>"2170756435"</f>
        <v>2170756435</v>
      </c>
      <c r="F1031" s="2" t="s">
        <v>17</v>
      </c>
      <c r="G1031" s="2" t="s">
        <v>18</v>
      </c>
      <c r="H1031" s="2" t="s">
        <v>25</v>
      </c>
      <c r="I1031" s="2" t="s">
        <v>26</v>
      </c>
      <c r="J1031" s="2" t="s">
        <v>664</v>
      </c>
      <c r="K1031" s="2" t="s">
        <v>802</v>
      </c>
      <c r="L1031" s="3">
        <v>0.4375</v>
      </c>
      <c r="M1031" s="2" t="s">
        <v>997</v>
      </c>
      <c r="N1031" s="2" t="s">
        <v>500</v>
      </c>
      <c r="O1031" s="2"/>
    </row>
    <row r="1032" spans="1:15" x14ac:dyDescent="0.25">
      <c r="A1032" s="2" t="s">
        <v>15</v>
      </c>
      <c r="B1032" s="2" t="str">
        <f>"009940283637"</f>
        <v>009940283637</v>
      </c>
      <c r="C1032" s="2" t="s">
        <v>698</v>
      </c>
      <c r="D1032" s="2">
        <v>1</v>
      </c>
      <c r="E1032" s="2" t="str">
        <f>"1162766363"</f>
        <v>1162766363</v>
      </c>
      <c r="F1032" s="2" t="s">
        <v>17</v>
      </c>
      <c r="G1032" s="2" t="s">
        <v>18</v>
      </c>
      <c r="H1032" s="2" t="s">
        <v>18</v>
      </c>
      <c r="I1032" s="2" t="s">
        <v>57</v>
      </c>
      <c r="J1032" s="2" t="s">
        <v>906</v>
      </c>
      <c r="K1032" s="2" t="s">
        <v>802</v>
      </c>
      <c r="L1032" s="3">
        <v>0.66319444444444442</v>
      </c>
      <c r="M1032" s="2" t="s">
        <v>998</v>
      </c>
      <c r="N1032" s="2" t="s">
        <v>500</v>
      </c>
      <c r="O1032" s="2"/>
    </row>
    <row r="1033" spans="1:15" x14ac:dyDescent="0.25">
      <c r="A1033" s="2" t="s">
        <v>15</v>
      </c>
      <c r="B1033" s="2" t="str">
        <f>"FES1162768680"</f>
        <v>FES1162768680</v>
      </c>
      <c r="C1033" s="2" t="s">
        <v>698</v>
      </c>
      <c r="D1033" s="2">
        <v>1</v>
      </c>
      <c r="E1033" s="2" t="str">
        <f>"2170755280"</f>
        <v>2170755280</v>
      </c>
      <c r="F1033" s="2" t="s">
        <v>17</v>
      </c>
      <c r="G1033" s="2" t="s">
        <v>18</v>
      </c>
      <c r="H1033" s="2" t="s">
        <v>88</v>
      </c>
      <c r="I1033" s="2" t="s">
        <v>109</v>
      </c>
      <c r="J1033" s="2" t="s">
        <v>110</v>
      </c>
      <c r="K1033" s="2" t="s">
        <v>802</v>
      </c>
      <c r="L1033" s="3">
        <v>0.3972222222222222</v>
      </c>
      <c r="M1033" s="2" t="s">
        <v>224</v>
      </c>
      <c r="N1033" s="2" t="s">
        <v>500</v>
      </c>
      <c r="O1033" s="2"/>
    </row>
    <row r="1034" spans="1:15" x14ac:dyDescent="0.25">
      <c r="A1034" s="2" t="s">
        <v>15</v>
      </c>
      <c r="B1034" s="2" t="str">
        <f>"FES1162768773"</f>
        <v>FES1162768773</v>
      </c>
      <c r="C1034" s="2" t="s">
        <v>698</v>
      </c>
      <c r="D1034" s="2">
        <v>3</v>
      </c>
      <c r="E1034" s="2" t="str">
        <f>"2170751932"</f>
        <v>2170751932</v>
      </c>
      <c r="F1034" s="2" t="s">
        <v>17</v>
      </c>
      <c r="G1034" s="2" t="s">
        <v>18</v>
      </c>
      <c r="H1034" s="2" t="s">
        <v>36</v>
      </c>
      <c r="I1034" s="2" t="s">
        <v>37</v>
      </c>
      <c r="J1034" s="2" t="s">
        <v>907</v>
      </c>
      <c r="K1034" s="2" t="s">
        <v>802</v>
      </c>
      <c r="L1034" s="3">
        <v>0.34166666666666662</v>
      </c>
      <c r="M1034" s="2" t="s">
        <v>999</v>
      </c>
      <c r="N1034" s="2" t="s">
        <v>500</v>
      </c>
      <c r="O1034" s="2"/>
    </row>
    <row r="1035" spans="1:15" x14ac:dyDescent="0.25">
      <c r="A1035" s="2" t="s">
        <v>15</v>
      </c>
      <c r="B1035" s="2" t="str">
        <f>"FES1162768765"</f>
        <v>FES1162768765</v>
      </c>
      <c r="C1035" s="2" t="s">
        <v>698</v>
      </c>
      <c r="D1035" s="2">
        <v>1</v>
      </c>
      <c r="E1035" s="2" t="str">
        <f>"2170756467"</f>
        <v>2170756467</v>
      </c>
      <c r="F1035" s="2" t="s">
        <v>17</v>
      </c>
      <c r="G1035" s="2" t="s">
        <v>18</v>
      </c>
      <c r="H1035" s="2" t="s">
        <v>25</v>
      </c>
      <c r="I1035" s="2" t="s">
        <v>125</v>
      </c>
      <c r="J1035" s="2" t="s">
        <v>126</v>
      </c>
      <c r="K1035" s="2" t="s">
        <v>802</v>
      </c>
      <c r="L1035" s="3">
        <v>0.48125000000000001</v>
      </c>
      <c r="M1035" s="2" t="s">
        <v>949</v>
      </c>
      <c r="N1035" s="2" t="s">
        <v>500</v>
      </c>
      <c r="O1035" s="2"/>
    </row>
    <row r="1036" spans="1:15" x14ac:dyDescent="0.25">
      <c r="A1036" s="2" t="s">
        <v>15</v>
      </c>
      <c r="B1036" s="2" t="str">
        <f>"FES1162768530"</f>
        <v>FES1162768530</v>
      </c>
      <c r="C1036" s="2" t="s">
        <v>698</v>
      </c>
      <c r="D1036" s="2">
        <v>1</v>
      </c>
      <c r="E1036" s="2" t="str">
        <f>"2170756425"</f>
        <v>2170756425</v>
      </c>
      <c r="F1036" s="2" t="s">
        <v>17</v>
      </c>
      <c r="G1036" s="2" t="s">
        <v>18</v>
      </c>
      <c r="H1036" s="2" t="s">
        <v>18</v>
      </c>
      <c r="I1036" s="2" t="s">
        <v>97</v>
      </c>
      <c r="J1036" s="2" t="s">
        <v>98</v>
      </c>
      <c r="K1036" s="2" t="s">
        <v>802</v>
      </c>
      <c r="L1036" s="3">
        <v>0.45347222222222222</v>
      </c>
      <c r="M1036" s="2" t="s">
        <v>1000</v>
      </c>
      <c r="N1036" s="2" t="s">
        <v>500</v>
      </c>
      <c r="O1036" s="2"/>
    </row>
    <row r="1037" spans="1:15" x14ac:dyDescent="0.25">
      <c r="A1037" s="2" t="s">
        <v>15</v>
      </c>
      <c r="B1037" s="2" t="str">
        <f>"FES1162768557"</f>
        <v>FES1162768557</v>
      </c>
      <c r="C1037" s="2" t="s">
        <v>698</v>
      </c>
      <c r="D1037" s="2">
        <v>1</v>
      </c>
      <c r="E1037" s="2" t="str">
        <f>"2170753660"</f>
        <v>2170753660</v>
      </c>
      <c r="F1037" s="2" t="s">
        <v>17</v>
      </c>
      <c r="G1037" s="2" t="s">
        <v>18</v>
      </c>
      <c r="H1037" s="2" t="s">
        <v>88</v>
      </c>
      <c r="I1037" s="2" t="s">
        <v>109</v>
      </c>
      <c r="J1037" s="2" t="s">
        <v>890</v>
      </c>
      <c r="K1037" s="2" t="s">
        <v>802</v>
      </c>
      <c r="L1037" s="3">
        <v>0.38194444444444442</v>
      </c>
      <c r="M1037" s="2" t="s">
        <v>744</v>
      </c>
      <c r="N1037" s="2" t="s">
        <v>500</v>
      </c>
      <c r="O1037" s="2"/>
    </row>
    <row r="1038" spans="1:15" x14ac:dyDescent="0.25">
      <c r="A1038" s="2" t="s">
        <v>15</v>
      </c>
      <c r="B1038" s="2" t="str">
        <f>"FES1162768550"</f>
        <v>FES1162768550</v>
      </c>
      <c r="C1038" s="2" t="s">
        <v>698</v>
      </c>
      <c r="D1038" s="2">
        <v>1</v>
      </c>
      <c r="E1038" s="2" t="str">
        <f>"2170752427"</f>
        <v>2170752427</v>
      </c>
      <c r="F1038" s="2" t="s">
        <v>17</v>
      </c>
      <c r="G1038" s="2" t="s">
        <v>18</v>
      </c>
      <c r="H1038" s="2" t="s">
        <v>18</v>
      </c>
      <c r="I1038" s="2" t="s">
        <v>63</v>
      </c>
      <c r="J1038" s="2" t="s">
        <v>899</v>
      </c>
      <c r="K1038" s="2" t="s">
        <v>802</v>
      </c>
      <c r="L1038" s="3">
        <v>0.41319444444444442</v>
      </c>
      <c r="M1038" s="2" t="s">
        <v>974</v>
      </c>
      <c r="N1038" s="2" t="s">
        <v>500</v>
      </c>
      <c r="O1038" s="2"/>
    </row>
    <row r="1039" spans="1:15" x14ac:dyDescent="0.25">
      <c r="A1039" s="2" t="s">
        <v>15</v>
      </c>
      <c r="B1039" s="2" t="str">
        <f>"FES1162768566"</f>
        <v>FES1162768566</v>
      </c>
      <c r="C1039" s="2" t="s">
        <v>698</v>
      </c>
      <c r="D1039" s="2">
        <v>1</v>
      </c>
      <c r="E1039" s="2" t="str">
        <f>"2170753907"</f>
        <v>2170753907</v>
      </c>
      <c r="F1039" s="2" t="s">
        <v>17</v>
      </c>
      <c r="G1039" s="2" t="s">
        <v>18</v>
      </c>
      <c r="H1039" s="2" t="s">
        <v>18</v>
      </c>
      <c r="I1039" s="2" t="s">
        <v>57</v>
      </c>
      <c r="J1039" s="2" t="s">
        <v>92</v>
      </c>
      <c r="K1039" s="2" t="s">
        <v>802</v>
      </c>
      <c r="L1039" s="3">
        <v>0.29583333333333334</v>
      </c>
      <c r="M1039" s="2" t="s">
        <v>693</v>
      </c>
      <c r="N1039" s="2" t="s">
        <v>500</v>
      </c>
      <c r="O1039" s="2"/>
    </row>
    <row r="1040" spans="1:15" x14ac:dyDescent="0.25">
      <c r="A1040" s="2" t="s">
        <v>15</v>
      </c>
      <c r="B1040" s="2" t="str">
        <f>"FES1162768848"</f>
        <v>FES1162768848</v>
      </c>
      <c r="C1040" s="2" t="s">
        <v>698</v>
      </c>
      <c r="D1040" s="2">
        <v>1</v>
      </c>
      <c r="E1040" s="2" t="str">
        <f>"2170754146"</f>
        <v>2170754146</v>
      </c>
      <c r="F1040" s="2" t="s">
        <v>17</v>
      </c>
      <c r="G1040" s="2" t="s">
        <v>18</v>
      </c>
      <c r="H1040" s="2" t="s">
        <v>18</v>
      </c>
      <c r="I1040" s="2" t="s">
        <v>65</v>
      </c>
      <c r="J1040" s="2" t="s">
        <v>908</v>
      </c>
      <c r="K1040" s="2" t="s">
        <v>802</v>
      </c>
      <c r="L1040" s="3">
        <v>0.39583333333333331</v>
      </c>
      <c r="M1040" s="2" t="s">
        <v>1001</v>
      </c>
      <c r="N1040" s="2" t="s">
        <v>500</v>
      </c>
      <c r="O1040" s="2"/>
    </row>
    <row r="1041" spans="1:15" x14ac:dyDescent="0.25">
      <c r="A1041" s="2" t="s">
        <v>15</v>
      </c>
      <c r="B1041" s="2" t="str">
        <f>"FES1162768763"</f>
        <v>FES1162768763</v>
      </c>
      <c r="C1041" s="2" t="s">
        <v>698</v>
      </c>
      <c r="D1041" s="2">
        <v>1</v>
      </c>
      <c r="E1041" s="2" t="str">
        <f>"2170756414"</f>
        <v>2170756414</v>
      </c>
      <c r="F1041" s="2" t="s">
        <v>17</v>
      </c>
      <c r="G1041" s="2" t="s">
        <v>18</v>
      </c>
      <c r="H1041" s="2" t="s">
        <v>363</v>
      </c>
      <c r="I1041" s="2" t="s">
        <v>489</v>
      </c>
      <c r="J1041" s="2" t="s">
        <v>909</v>
      </c>
      <c r="K1041" s="2" t="s">
        <v>802</v>
      </c>
      <c r="L1041" s="3">
        <v>0.39583333333333331</v>
      </c>
      <c r="M1041" s="2" t="s">
        <v>1002</v>
      </c>
      <c r="N1041" s="2" t="s">
        <v>500</v>
      </c>
      <c r="O1041" s="2"/>
    </row>
    <row r="1042" spans="1:15" x14ac:dyDescent="0.25">
      <c r="A1042" s="5" t="s">
        <v>15</v>
      </c>
      <c r="B1042" s="5" t="str">
        <f>"FES1162768805"</f>
        <v>FES1162768805</v>
      </c>
      <c r="C1042" s="5" t="s">
        <v>698</v>
      </c>
      <c r="D1042" s="5">
        <v>1</v>
      </c>
      <c r="E1042" s="5" t="str">
        <f>"2170754476"</f>
        <v>2170754476</v>
      </c>
      <c r="F1042" s="5" t="s">
        <v>17</v>
      </c>
      <c r="G1042" s="5" t="s">
        <v>18</v>
      </c>
      <c r="H1042" s="5" t="s">
        <v>19</v>
      </c>
      <c r="I1042" s="5" t="s">
        <v>149</v>
      </c>
      <c r="J1042" s="5" t="s">
        <v>150</v>
      </c>
      <c r="K1042" s="5" t="s">
        <v>1084</v>
      </c>
      <c r="L1042" s="9">
        <v>0.47500000000000003</v>
      </c>
      <c r="M1042" s="5" t="s">
        <v>1242</v>
      </c>
      <c r="N1042" s="5" t="s">
        <v>500</v>
      </c>
      <c r="O1042" s="5"/>
    </row>
    <row r="1043" spans="1:15" x14ac:dyDescent="0.25">
      <c r="A1043" s="2" t="s">
        <v>15</v>
      </c>
      <c r="B1043" s="2" t="str">
        <f>"FES1162768471"</f>
        <v>FES1162768471</v>
      </c>
      <c r="C1043" s="2" t="s">
        <v>698</v>
      </c>
      <c r="D1043" s="2">
        <v>1</v>
      </c>
      <c r="E1043" s="2" t="str">
        <f>"2170756027"</f>
        <v>2170756027</v>
      </c>
      <c r="F1043" s="2" t="s">
        <v>17</v>
      </c>
      <c r="G1043" s="2" t="s">
        <v>18</v>
      </c>
      <c r="H1043" s="2" t="s">
        <v>18</v>
      </c>
      <c r="I1043" s="2" t="s">
        <v>46</v>
      </c>
      <c r="J1043" s="2" t="s">
        <v>59</v>
      </c>
      <c r="K1043" s="2" t="s">
        <v>802</v>
      </c>
      <c r="L1043" s="3">
        <v>0.4375</v>
      </c>
      <c r="M1043" s="2" t="s">
        <v>60</v>
      </c>
      <c r="N1043" s="2" t="s">
        <v>500</v>
      </c>
      <c r="O1043" s="2"/>
    </row>
    <row r="1044" spans="1:15" x14ac:dyDescent="0.25">
      <c r="A1044" s="2" t="s">
        <v>15</v>
      </c>
      <c r="B1044" s="2" t="str">
        <f>"FES1162768875"</f>
        <v>FES1162768875</v>
      </c>
      <c r="C1044" s="2" t="s">
        <v>698</v>
      </c>
      <c r="D1044" s="2">
        <v>1</v>
      </c>
      <c r="E1044" s="2" t="str">
        <f>"2170754461"</f>
        <v>2170754461</v>
      </c>
      <c r="F1044" s="2" t="s">
        <v>17</v>
      </c>
      <c r="G1044" s="2" t="s">
        <v>18</v>
      </c>
      <c r="H1044" s="2" t="s">
        <v>19</v>
      </c>
      <c r="I1044" s="2" t="s">
        <v>20</v>
      </c>
      <c r="J1044" s="2" t="s">
        <v>281</v>
      </c>
      <c r="K1044" s="2" t="s">
        <v>802</v>
      </c>
      <c r="L1044" s="3">
        <v>0.4375</v>
      </c>
      <c r="M1044" s="2" t="s">
        <v>968</v>
      </c>
      <c r="N1044" s="2" t="s">
        <v>500</v>
      </c>
      <c r="O1044" s="2"/>
    </row>
    <row r="1045" spans="1:15" x14ac:dyDescent="0.25">
      <c r="A1045" s="2" t="s">
        <v>15</v>
      </c>
      <c r="B1045" s="2" t="str">
        <f>"FES1162769005"</f>
        <v>FES1162769005</v>
      </c>
      <c r="C1045" s="2" t="s">
        <v>698</v>
      </c>
      <c r="D1045" s="2">
        <v>1</v>
      </c>
      <c r="E1045" s="2" t="str">
        <f>"2170754942"</f>
        <v>2170754942</v>
      </c>
      <c r="F1045" s="2" t="s">
        <v>17</v>
      </c>
      <c r="G1045" s="2" t="s">
        <v>18</v>
      </c>
      <c r="H1045" s="2" t="s">
        <v>36</v>
      </c>
      <c r="I1045" s="2" t="s">
        <v>37</v>
      </c>
      <c r="J1045" s="2" t="s">
        <v>38</v>
      </c>
      <c r="K1045" s="2" t="s">
        <v>802</v>
      </c>
      <c r="L1045" s="3">
        <v>0.3576388888888889</v>
      </c>
      <c r="M1045" s="2" t="s">
        <v>811</v>
      </c>
      <c r="N1045" s="2" t="s">
        <v>500</v>
      </c>
      <c r="O1045" s="2"/>
    </row>
    <row r="1046" spans="1:15" x14ac:dyDescent="0.25">
      <c r="A1046" s="2" t="s">
        <v>15</v>
      </c>
      <c r="B1046" s="2" t="str">
        <f>"FES1162768524"</f>
        <v>FES1162768524</v>
      </c>
      <c r="C1046" s="2" t="s">
        <v>698</v>
      </c>
      <c r="D1046" s="2">
        <v>1</v>
      </c>
      <c r="E1046" s="2" t="str">
        <f>"2170756410"</f>
        <v>2170756410</v>
      </c>
      <c r="F1046" s="2" t="s">
        <v>17</v>
      </c>
      <c r="G1046" s="2" t="s">
        <v>18</v>
      </c>
      <c r="H1046" s="2" t="s">
        <v>19</v>
      </c>
      <c r="I1046" s="2" t="s">
        <v>20</v>
      </c>
      <c r="J1046" s="2" t="s">
        <v>21</v>
      </c>
      <c r="K1046" s="2" t="s">
        <v>802</v>
      </c>
      <c r="L1046" s="3">
        <v>0.37847222222222227</v>
      </c>
      <c r="M1046" s="2" t="s">
        <v>682</v>
      </c>
      <c r="N1046" s="2" t="s">
        <v>500</v>
      </c>
      <c r="O1046" s="2"/>
    </row>
    <row r="1047" spans="1:15" x14ac:dyDescent="0.25">
      <c r="A1047" s="2" t="s">
        <v>15</v>
      </c>
      <c r="B1047" s="2" t="str">
        <f>"FES1162768934"</f>
        <v>FES1162768934</v>
      </c>
      <c r="C1047" s="2" t="s">
        <v>698</v>
      </c>
      <c r="D1047" s="2">
        <v>1</v>
      </c>
      <c r="E1047" s="2" t="str">
        <f>"2170756520"</f>
        <v>2170756520</v>
      </c>
      <c r="F1047" s="2" t="s">
        <v>17</v>
      </c>
      <c r="G1047" s="2" t="s">
        <v>18</v>
      </c>
      <c r="H1047" s="2" t="s">
        <v>18</v>
      </c>
      <c r="I1047" s="2" t="s">
        <v>116</v>
      </c>
      <c r="J1047" s="2" t="s">
        <v>117</v>
      </c>
      <c r="K1047" s="2" t="s">
        <v>802</v>
      </c>
      <c r="L1047" s="3">
        <v>0.42152777777777778</v>
      </c>
      <c r="M1047" s="2" t="s">
        <v>1003</v>
      </c>
      <c r="N1047" s="2" t="s">
        <v>500</v>
      </c>
      <c r="O1047" s="2"/>
    </row>
    <row r="1048" spans="1:15" x14ac:dyDescent="0.25">
      <c r="A1048" s="2" t="s">
        <v>15</v>
      </c>
      <c r="B1048" s="2" t="str">
        <f>"FES1162768966"</f>
        <v>FES1162768966</v>
      </c>
      <c r="C1048" s="2" t="s">
        <v>698</v>
      </c>
      <c r="D1048" s="2">
        <v>1</v>
      </c>
      <c r="E1048" s="2" t="str">
        <f>"2170756557"</f>
        <v>2170756557</v>
      </c>
      <c r="F1048" s="2" t="s">
        <v>17</v>
      </c>
      <c r="G1048" s="2" t="s">
        <v>18</v>
      </c>
      <c r="H1048" s="2" t="s">
        <v>18</v>
      </c>
      <c r="I1048" s="2" t="s">
        <v>57</v>
      </c>
      <c r="J1048" s="2" t="s">
        <v>910</v>
      </c>
      <c r="K1048" s="2" t="s">
        <v>802</v>
      </c>
      <c r="L1048" s="3">
        <v>0.42430555555555555</v>
      </c>
      <c r="M1048" s="2" t="s">
        <v>1004</v>
      </c>
      <c r="N1048" s="2" t="s">
        <v>500</v>
      </c>
      <c r="O1048" s="2"/>
    </row>
    <row r="1049" spans="1:15" x14ac:dyDescent="0.25">
      <c r="A1049" s="2" t="s">
        <v>15</v>
      </c>
      <c r="B1049" s="2" t="str">
        <f>"FES1162768809"</f>
        <v>FES1162768809</v>
      </c>
      <c r="C1049" s="2" t="s">
        <v>698</v>
      </c>
      <c r="D1049" s="2">
        <v>1</v>
      </c>
      <c r="E1049" s="2" t="str">
        <f>"2170755316"</f>
        <v>2170755316</v>
      </c>
      <c r="F1049" s="2" t="s">
        <v>17</v>
      </c>
      <c r="G1049" s="2" t="s">
        <v>18</v>
      </c>
      <c r="H1049" s="2" t="s">
        <v>18</v>
      </c>
      <c r="I1049" s="2" t="s">
        <v>63</v>
      </c>
      <c r="J1049" s="2" t="s">
        <v>421</v>
      </c>
      <c r="K1049" s="2" t="s">
        <v>802</v>
      </c>
      <c r="L1049" s="3">
        <v>0.33888888888888885</v>
      </c>
      <c r="M1049" s="2" t="s">
        <v>744</v>
      </c>
      <c r="N1049" s="2" t="s">
        <v>500</v>
      </c>
      <c r="O1049" s="2"/>
    </row>
    <row r="1050" spans="1:15" x14ac:dyDescent="0.25">
      <c r="A1050" s="2" t="s">
        <v>15</v>
      </c>
      <c r="B1050" s="2" t="str">
        <f>"FES1162768724"</f>
        <v>FES1162768724</v>
      </c>
      <c r="C1050" s="2" t="s">
        <v>698</v>
      </c>
      <c r="D1050" s="2">
        <v>1</v>
      </c>
      <c r="E1050" s="2" t="str">
        <f>"2170733720"</f>
        <v>2170733720</v>
      </c>
      <c r="F1050" s="2" t="s">
        <v>17</v>
      </c>
      <c r="G1050" s="2" t="s">
        <v>18</v>
      </c>
      <c r="H1050" s="2" t="s">
        <v>18</v>
      </c>
      <c r="I1050" s="2" t="s">
        <v>290</v>
      </c>
      <c r="J1050" s="2" t="s">
        <v>458</v>
      </c>
      <c r="K1050" s="2" t="s">
        <v>802</v>
      </c>
      <c r="L1050" s="3">
        <v>0.33333333333333331</v>
      </c>
      <c r="M1050" s="2" t="s">
        <v>1005</v>
      </c>
      <c r="N1050" s="2" t="s">
        <v>500</v>
      </c>
      <c r="O1050" s="2"/>
    </row>
    <row r="1051" spans="1:15" x14ac:dyDescent="0.25">
      <c r="A1051" s="2" t="s">
        <v>15</v>
      </c>
      <c r="B1051" s="2" t="str">
        <f>"FES1162768955"</f>
        <v>FES1162768955</v>
      </c>
      <c r="C1051" s="2" t="s">
        <v>698</v>
      </c>
      <c r="D1051" s="2">
        <v>1</v>
      </c>
      <c r="E1051" s="2" t="str">
        <f>"2170756244"</f>
        <v>2170756244</v>
      </c>
      <c r="F1051" s="2" t="s">
        <v>17</v>
      </c>
      <c r="G1051" s="2" t="s">
        <v>18</v>
      </c>
      <c r="H1051" s="2" t="s">
        <v>18</v>
      </c>
      <c r="I1051" s="2" t="s">
        <v>46</v>
      </c>
      <c r="J1051" s="2" t="s">
        <v>911</v>
      </c>
      <c r="K1051" s="2" t="s">
        <v>802</v>
      </c>
      <c r="L1051" s="3">
        <v>0.34166666666666662</v>
      </c>
      <c r="M1051" s="2" t="s">
        <v>1006</v>
      </c>
      <c r="N1051" s="2" t="s">
        <v>500</v>
      </c>
      <c r="O1051" s="2"/>
    </row>
    <row r="1052" spans="1:15" x14ac:dyDescent="0.25">
      <c r="A1052" s="2" t="s">
        <v>15</v>
      </c>
      <c r="B1052" s="2" t="str">
        <f>"FES1162768858"</f>
        <v>FES1162768858</v>
      </c>
      <c r="C1052" s="2" t="s">
        <v>698</v>
      </c>
      <c r="D1052" s="2">
        <v>1</v>
      </c>
      <c r="E1052" s="2" t="str">
        <f>"2170754202"</f>
        <v>2170754202</v>
      </c>
      <c r="F1052" s="2" t="s">
        <v>17</v>
      </c>
      <c r="G1052" s="2" t="s">
        <v>18</v>
      </c>
      <c r="H1052" s="2" t="s">
        <v>36</v>
      </c>
      <c r="I1052" s="2" t="s">
        <v>67</v>
      </c>
      <c r="J1052" s="2" t="s">
        <v>72</v>
      </c>
      <c r="K1052" s="2" t="s">
        <v>802</v>
      </c>
      <c r="L1052" s="3">
        <v>0.41597222222222219</v>
      </c>
      <c r="M1052" s="2" t="s">
        <v>194</v>
      </c>
      <c r="N1052" s="2" t="s">
        <v>500</v>
      </c>
      <c r="O1052" s="2"/>
    </row>
    <row r="1053" spans="1:15" x14ac:dyDescent="0.25">
      <c r="A1053" s="2" t="s">
        <v>15</v>
      </c>
      <c r="B1053" s="2" t="str">
        <f>"FES1162768882"</f>
        <v>FES1162768882</v>
      </c>
      <c r="C1053" s="2" t="s">
        <v>698</v>
      </c>
      <c r="D1053" s="2">
        <v>1</v>
      </c>
      <c r="E1053" s="2" t="str">
        <f>"2170754692"</f>
        <v>2170754692</v>
      </c>
      <c r="F1053" s="2" t="s">
        <v>17</v>
      </c>
      <c r="G1053" s="2" t="s">
        <v>18</v>
      </c>
      <c r="H1053" s="2" t="s">
        <v>36</v>
      </c>
      <c r="I1053" s="2" t="s">
        <v>37</v>
      </c>
      <c r="J1053" s="2" t="s">
        <v>912</v>
      </c>
      <c r="K1053" s="2" t="s">
        <v>802</v>
      </c>
      <c r="L1053" s="3">
        <v>0.38541666666666669</v>
      </c>
      <c r="M1053" s="2" t="s">
        <v>1007</v>
      </c>
      <c r="N1053" s="2" t="s">
        <v>500</v>
      </c>
      <c r="O1053" s="2"/>
    </row>
    <row r="1054" spans="1:15" x14ac:dyDescent="0.25">
      <c r="A1054" s="2" t="s">
        <v>15</v>
      </c>
      <c r="B1054" s="2" t="str">
        <f>"FES1162768920"</f>
        <v>FES1162768920</v>
      </c>
      <c r="C1054" s="2" t="s">
        <v>698</v>
      </c>
      <c r="D1054" s="2">
        <v>1</v>
      </c>
      <c r="E1054" s="2" t="str">
        <f>"2170756450"</f>
        <v>2170756450</v>
      </c>
      <c r="F1054" s="2" t="s">
        <v>17</v>
      </c>
      <c r="G1054" s="2" t="s">
        <v>18</v>
      </c>
      <c r="H1054" s="2" t="s">
        <v>484</v>
      </c>
      <c r="I1054" s="2" t="s">
        <v>485</v>
      </c>
      <c r="J1054" s="2" t="s">
        <v>486</v>
      </c>
      <c r="K1054" s="2" t="s">
        <v>1008</v>
      </c>
      <c r="L1054" s="3">
        <v>0.41666666666666669</v>
      </c>
      <c r="M1054" s="2" t="s">
        <v>1053</v>
      </c>
      <c r="N1054" s="2" t="s">
        <v>500</v>
      </c>
      <c r="O1054" s="2"/>
    </row>
    <row r="1055" spans="1:15" x14ac:dyDescent="0.25">
      <c r="A1055" s="2" t="s">
        <v>15</v>
      </c>
      <c r="B1055" s="2" t="str">
        <f>"FES1162768793"</f>
        <v>FES1162768793</v>
      </c>
      <c r="C1055" s="2" t="s">
        <v>698</v>
      </c>
      <c r="D1055" s="2">
        <v>1</v>
      </c>
      <c r="E1055" s="2" t="str">
        <f>"2170754355"</f>
        <v>2170754355</v>
      </c>
      <c r="F1055" s="2" t="s">
        <v>17</v>
      </c>
      <c r="G1055" s="2" t="s">
        <v>18</v>
      </c>
      <c r="H1055" s="2" t="s">
        <v>18</v>
      </c>
      <c r="I1055" s="2" t="s">
        <v>63</v>
      </c>
      <c r="J1055" s="2" t="s">
        <v>93</v>
      </c>
      <c r="K1055" s="2" t="s">
        <v>802</v>
      </c>
      <c r="L1055" s="3">
        <v>0.38819444444444445</v>
      </c>
      <c r="M1055" s="2" t="s">
        <v>210</v>
      </c>
      <c r="N1055" s="2" t="s">
        <v>500</v>
      </c>
      <c r="O1055" s="2"/>
    </row>
    <row r="1056" spans="1:15" x14ac:dyDescent="0.25">
      <c r="A1056" s="2" t="s">
        <v>15</v>
      </c>
      <c r="B1056" s="2" t="str">
        <f>"FES1162768667"</f>
        <v>FES1162768667</v>
      </c>
      <c r="C1056" s="2" t="s">
        <v>698</v>
      </c>
      <c r="D1056" s="2">
        <v>1</v>
      </c>
      <c r="E1056" s="2" t="str">
        <f>"2170754164"</f>
        <v>2170754164</v>
      </c>
      <c r="F1056" s="2" t="s">
        <v>17</v>
      </c>
      <c r="G1056" s="2" t="s">
        <v>18</v>
      </c>
      <c r="H1056" s="2" t="s">
        <v>18</v>
      </c>
      <c r="I1056" s="2" t="s">
        <v>290</v>
      </c>
      <c r="J1056" s="2" t="s">
        <v>420</v>
      </c>
      <c r="K1056" s="2" t="s">
        <v>802</v>
      </c>
      <c r="L1056" s="3">
        <v>0.33333333333333331</v>
      </c>
      <c r="M1056" s="2" t="s">
        <v>523</v>
      </c>
      <c r="N1056" s="2" t="s">
        <v>500</v>
      </c>
      <c r="O1056" s="2"/>
    </row>
    <row r="1057" spans="1:15" x14ac:dyDescent="0.25">
      <c r="A1057" s="2" t="s">
        <v>15</v>
      </c>
      <c r="B1057" s="2" t="str">
        <f>"FES1162768862"</f>
        <v>FES1162768862</v>
      </c>
      <c r="C1057" s="2" t="s">
        <v>698</v>
      </c>
      <c r="D1057" s="2">
        <v>1</v>
      </c>
      <c r="E1057" s="2" t="str">
        <f>"2170754218"</f>
        <v>2170754218</v>
      </c>
      <c r="F1057" s="2" t="s">
        <v>17</v>
      </c>
      <c r="G1057" s="2" t="s">
        <v>18</v>
      </c>
      <c r="H1057" s="2" t="s">
        <v>78</v>
      </c>
      <c r="I1057" s="2" t="s">
        <v>79</v>
      </c>
      <c r="J1057" s="2" t="s">
        <v>630</v>
      </c>
      <c r="K1057" s="2" t="s">
        <v>802</v>
      </c>
      <c r="L1057" s="3">
        <v>0.57986111111111105</v>
      </c>
      <c r="M1057" s="2" t="s">
        <v>748</v>
      </c>
      <c r="N1057" s="2" t="s">
        <v>500</v>
      </c>
      <c r="O1057" s="2"/>
    </row>
    <row r="1058" spans="1:15" x14ac:dyDescent="0.25">
      <c r="A1058" s="2" t="s">
        <v>15</v>
      </c>
      <c r="B1058" s="2" t="str">
        <f>"FES1162768493"</f>
        <v>FES1162768493</v>
      </c>
      <c r="C1058" s="2" t="s">
        <v>698</v>
      </c>
      <c r="D1058" s="2">
        <v>1</v>
      </c>
      <c r="E1058" s="2" t="str">
        <f>"2170754991"</f>
        <v>2170754991</v>
      </c>
      <c r="F1058" s="2" t="s">
        <v>17</v>
      </c>
      <c r="G1058" s="2" t="s">
        <v>18</v>
      </c>
      <c r="H1058" s="2" t="s">
        <v>25</v>
      </c>
      <c r="I1058" s="2" t="s">
        <v>26</v>
      </c>
      <c r="J1058" s="2" t="s">
        <v>913</v>
      </c>
      <c r="K1058" s="2" t="s">
        <v>802</v>
      </c>
      <c r="L1058" s="3">
        <v>0.37083333333333335</v>
      </c>
      <c r="M1058" s="2" t="s">
        <v>1009</v>
      </c>
      <c r="N1058" s="2" t="s">
        <v>500</v>
      </c>
      <c r="O1058" s="2"/>
    </row>
    <row r="1059" spans="1:15" x14ac:dyDescent="0.25">
      <c r="A1059" s="2" t="s">
        <v>15</v>
      </c>
      <c r="B1059" s="2" t="str">
        <f>"FES1162768937"</f>
        <v>FES1162768937</v>
      </c>
      <c r="C1059" s="2" t="s">
        <v>698</v>
      </c>
      <c r="D1059" s="2">
        <v>1</v>
      </c>
      <c r="E1059" s="2" t="str">
        <f>"2170756524"</f>
        <v>2170756524</v>
      </c>
      <c r="F1059" s="2" t="s">
        <v>17</v>
      </c>
      <c r="G1059" s="2" t="s">
        <v>18</v>
      </c>
      <c r="H1059" s="2" t="s">
        <v>36</v>
      </c>
      <c r="I1059" s="2" t="s">
        <v>37</v>
      </c>
      <c r="J1059" s="2" t="s">
        <v>55</v>
      </c>
      <c r="K1059" s="2" t="s">
        <v>802</v>
      </c>
      <c r="L1059" s="3">
        <v>0.40277777777777773</v>
      </c>
      <c r="M1059" s="2" t="s">
        <v>305</v>
      </c>
      <c r="N1059" s="2" t="s">
        <v>500</v>
      </c>
      <c r="O1059" s="2"/>
    </row>
    <row r="1060" spans="1:15" x14ac:dyDescent="0.25">
      <c r="A1060" s="2" t="s">
        <v>15</v>
      </c>
      <c r="B1060" s="2" t="str">
        <f>"FES1162768828"</f>
        <v>FES1162768828</v>
      </c>
      <c r="C1060" s="2" t="s">
        <v>698</v>
      </c>
      <c r="D1060" s="2">
        <v>1</v>
      </c>
      <c r="E1060" s="2" t="str">
        <f>"2170753006"</f>
        <v>2170753006</v>
      </c>
      <c r="F1060" s="2" t="s">
        <v>17</v>
      </c>
      <c r="G1060" s="2" t="s">
        <v>18</v>
      </c>
      <c r="H1060" s="2" t="s">
        <v>25</v>
      </c>
      <c r="I1060" s="2" t="s">
        <v>26</v>
      </c>
      <c r="J1060" s="2" t="s">
        <v>27</v>
      </c>
      <c r="K1060" s="2" t="s">
        <v>802</v>
      </c>
      <c r="L1060" s="3">
        <v>0.41875000000000001</v>
      </c>
      <c r="M1060" s="2" t="s">
        <v>171</v>
      </c>
      <c r="N1060" s="2" t="s">
        <v>500</v>
      </c>
      <c r="O1060" s="2"/>
    </row>
    <row r="1061" spans="1:15" x14ac:dyDescent="0.25">
      <c r="A1061" s="2" t="s">
        <v>15</v>
      </c>
      <c r="B1061" s="2" t="str">
        <f>"FES1162768756"</f>
        <v>FES1162768756</v>
      </c>
      <c r="C1061" s="2" t="s">
        <v>698</v>
      </c>
      <c r="D1061" s="2">
        <v>1</v>
      </c>
      <c r="E1061" s="2" t="str">
        <f>"2170756464"</f>
        <v>2170756464</v>
      </c>
      <c r="F1061" s="2" t="s">
        <v>17</v>
      </c>
      <c r="G1061" s="2" t="s">
        <v>18</v>
      </c>
      <c r="H1061" s="2" t="s">
        <v>78</v>
      </c>
      <c r="I1061" s="2" t="s">
        <v>79</v>
      </c>
      <c r="J1061" s="2" t="s">
        <v>81</v>
      </c>
      <c r="K1061" s="2" t="s">
        <v>802</v>
      </c>
      <c r="L1061" s="3">
        <v>0.36458333333333331</v>
      </c>
      <c r="M1061" s="2" t="s">
        <v>1010</v>
      </c>
      <c r="N1061" s="2" t="s">
        <v>500</v>
      </c>
      <c r="O1061" s="2"/>
    </row>
    <row r="1062" spans="1:15" x14ac:dyDescent="0.25">
      <c r="A1062" s="2" t="s">
        <v>15</v>
      </c>
      <c r="B1062" s="2" t="str">
        <f>"FES1162768778"</f>
        <v>FES1162768778</v>
      </c>
      <c r="C1062" s="2" t="s">
        <v>698</v>
      </c>
      <c r="D1062" s="2">
        <v>1</v>
      </c>
      <c r="E1062" s="2" t="str">
        <f>"2170753002"</f>
        <v>2170753002</v>
      </c>
      <c r="F1062" s="2" t="s">
        <v>17</v>
      </c>
      <c r="G1062" s="2" t="s">
        <v>18</v>
      </c>
      <c r="H1062" s="2" t="s">
        <v>25</v>
      </c>
      <c r="I1062" s="2" t="s">
        <v>26</v>
      </c>
      <c r="J1062" s="2" t="s">
        <v>27</v>
      </c>
      <c r="K1062" s="2" t="s">
        <v>802</v>
      </c>
      <c r="L1062" s="3">
        <v>0.41875000000000001</v>
      </c>
      <c r="M1062" s="2" t="s">
        <v>171</v>
      </c>
      <c r="N1062" s="2" t="s">
        <v>500</v>
      </c>
      <c r="O1062" s="2"/>
    </row>
    <row r="1063" spans="1:15" x14ac:dyDescent="0.25">
      <c r="A1063" s="2" t="s">
        <v>15</v>
      </c>
      <c r="B1063" s="2" t="str">
        <f>"FES1162768847"</f>
        <v>FES1162768847</v>
      </c>
      <c r="C1063" s="2" t="s">
        <v>698</v>
      </c>
      <c r="D1063" s="2">
        <v>1</v>
      </c>
      <c r="E1063" s="2" t="str">
        <f>"2170754145"</f>
        <v>2170754145</v>
      </c>
      <c r="F1063" s="2" t="s">
        <v>17</v>
      </c>
      <c r="G1063" s="2" t="s">
        <v>18</v>
      </c>
      <c r="H1063" s="2" t="s">
        <v>78</v>
      </c>
      <c r="I1063" s="2" t="s">
        <v>79</v>
      </c>
      <c r="J1063" s="2" t="s">
        <v>898</v>
      </c>
      <c r="K1063" s="2" t="s">
        <v>802</v>
      </c>
      <c r="L1063" s="3">
        <v>0.41666666666666669</v>
      </c>
      <c r="M1063" s="2" t="s">
        <v>972</v>
      </c>
      <c r="N1063" s="2" t="s">
        <v>500</v>
      </c>
      <c r="O1063" s="2"/>
    </row>
    <row r="1064" spans="1:15" x14ac:dyDescent="0.25">
      <c r="A1064" s="5" t="s">
        <v>15</v>
      </c>
      <c r="B1064" s="5" t="str">
        <f>"FES1162768722"</f>
        <v>FES1162768722</v>
      </c>
      <c r="C1064" s="5" t="s">
        <v>698</v>
      </c>
      <c r="D1064" s="5">
        <v>1</v>
      </c>
      <c r="E1064" s="5" t="str">
        <f>"2170753699"</f>
        <v>2170753699</v>
      </c>
      <c r="F1064" s="5" t="s">
        <v>17</v>
      </c>
      <c r="G1064" s="5" t="s">
        <v>18</v>
      </c>
      <c r="H1064" s="5" t="s">
        <v>36</v>
      </c>
      <c r="I1064" s="5" t="s">
        <v>496</v>
      </c>
      <c r="J1064" s="5" t="s">
        <v>497</v>
      </c>
      <c r="K1064" s="5" t="s">
        <v>1008</v>
      </c>
      <c r="L1064" s="9">
        <v>0.60416666666666663</v>
      </c>
      <c r="M1064" s="5" t="s">
        <v>1241</v>
      </c>
      <c r="N1064" s="5" t="s">
        <v>500</v>
      </c>
      <c r="O1064" s="5"/>
    </row>
    <row r="1065" spans="1:15" x14ac:dyDescent="0.25">
      <c r="A1065" s="2" t="s">
        <v>15</v>
      </c>
      <c r="B1065" s="2" t="str">
        <f>"FES1162768873"</f>
        <v>FES1162768873</v>
      </c>
      <c r="C1065" s="2" t="s">
        <v>698</v>
      </c>
      <c r="D1065" s="2">
        <v>1</v>
      </c>
      <c r="E1065" s="2" t="str">
        <f>"2170754373"</f>
        <v>2170754373</v>
      </c>
      <c r="F1065" s="2" t="s">
        <v>17</v>
      </c>
      <c r="G1065" s="2" t="s">
        <v>18</v>
      </c>
      <c r="H1065" s="2" t="s">
        <v>36</v>
      </c>
      <c r="I1065" s="2" t="s">
        <v>37</v>
      </c>
      <c r="J1065" s="2" t="s">
        <v>162</v>
      </c>
      <c r="K1065" s="2" t="s">
        <v>802</v>
      </c>
      <c r="L1065" s="3">
        <v>0.34027777777777773</v>
      </c>
      <c r="M1065" s="2" t="s">
        <v>268</v>
      </c>
      <c r="N1065" s="2" t="s">
        <v>500</v>
      </c>
      <c r="O1065" s="2"/>
    </row>
    <row r="1066" spans="1:15" x14ac:dyDescent="0.25">
      <c r="A1066" s="2" t="s">
        <v>15</v>
      </c>
      <c r="B1066" s="2" t="str">
        <f>"FES1162768632"</f>
        <v>FES1162768632</v>
      </c>
      <c r="C1066" s="2" t="s">
        <v>698</v>
      </c>
      <c r="D1066" s="2">
        <v>1</v>
      </c>
      <c r="E1066" s="2" t="str">
        <f>"2170753258"</f>
        <v>2170753258</v>
      </c>
      <c r="F1066" s="2" t="s">
        <v>17</v>
      </c>
      <c r="G1066" s="2" t="s">
        <v>18</v>
      </c>
      <c r="H1066" s="2" t="s">
        <v>36</v>
      </c>
      <c r="I1066" s="2" t="s">
        <v>37</v>
      </c>
      <c r="J1066" s="2" t="s">
        <v>162</v>
      </c>
      <c r="K1066" s="2" t="s">
        <v>802</v>
      </c>
      <c r="L1066" s="3">
        <v>0.34027777777777773</v>
      </c>
      <c r="M1066" s="2" t="s">
        <v>268</v>
      </c>
      <c r="N1066" s="2" t="s">
        <v>500</v>
      </c>
      <c r="O1066" s="2"/>
    </row>
    <row r="1067" spans="1:15" x14ac:dyDescent="0.25">
      <c r="A1067" s="2" t="s">
        <v>15</v>
      </c>
      <c r="B1067" s="2" t="str">
        <f>"FES1162768929"</f>
        <v>FES1162768929</v>
      </c>
      <c r="C1067" s="2" t="s">
        <v>698</v>
      </c>
      <c r="D1067" s="2">
        <v>1</v>
      </c>
      <c r="E1067" s="2" t="str">
        <f>"2170756510"</f>
        <v>2170756510</v>
      </c>
      <c r="F1067" s="2" t="s">
        <v>17</v>
      </c>
      <c r="G1067" s="2" t="s">
        <v>18</v>
      </c>
      <c r="H1067" s="2" t="s">
        <v>25</v>
      </c>
      <c r="I1067" s="2" t="s">
        <v>125</v>
      </c>
      <c r="J1067" s="2" t="s">
        <v>126</v>
      </c>
      <c r="K1067" s="2" t="s">
        <v>802</v>
      </c>
      <c r="L1067" s="3">
        <v>0.4826388888888889</v>
      </c>
      <c r="M1067" s="2" t="s">
        <v>949</v>
      </c>
      <c r="N1067" s="2" t="s">
        <v>500</v>
      </c>
      <c r="O1067" s="2"/>
    </row>
    <row r="1068" spans="1:15" x14ac:dyDescent="0.25">
      <c r="A1068" s="2" t="s">
        <v>15</v>
      </c>
      <c r="B1068" s="2" t="str">
        <f>"FES1162768509"</f>
        <v>FES1162768509</v>
      </c>
      <c r="C1068" s="2" t="s">
        <v>698</v>
      </c>
      <c r="D1068" s="2">
        <v>1</v>
      </c>
      <c r="E1068" s="2" t="str">
        <f>"2170756208"</f>
        <v>2170756208</v>
      </c>
      <c r="F1068" s="2" t="s">
        <v>17</v>
      </c>
      <c r="G1068" s="2" t="s">
        <v>18</v>
      </c>
      <c r="H1068" s="2" t="s">
        <v>78</v>
      </c>
      <c r="I1068" s="2" t="s">
        <v>159</v>
      </c>
      <c r="J1068" s="2" t="s">
        <v>160</v>
      </c>
      <c r="K1068" s="2" t="s">
        <v>802</v>
      </c>
      <c r="L1068" s="3">
        <v>0.42569444444444443</v>
      </c>
      <c r="M1068" s="2" t="s">
        <v>1011</v>
      </c>
      <c r="N1068" s="2" t="s">
        <v>500</v>
      </c>
      <c r="O1068" s="2"/>
    </row>
    <row r="1069" spans="1:15" x14ac:dyDescent="0.25">
      <c r="A1069" s="2" t="s">
        <v>15</v>
      </c>
      <c r="B1069" s="2" t="str">
        <f>"FES1162768777"</f>
        <v>FES1162768777</v>
      </c>
      <c r="C1069" s="2" t="s">
        <v>698</v>
      </c>
      <c r="D1069" s="2">
        <v>1</v>
      </c>
      <c r="E1069" s="2" t="str">
        <f>"2170753001"</f>
        <v>2170753001</v>
      </c>
      <c r="F1069" s="2" t="s">
        <v>17</v>
      </c>
      <c r="G1069" s="2" t="s">
        <v>18</v>
      </c>
      <c r="H1069" s="2" t="s">
        <v>25</v>
      </c>
      <c r="I1069" s="2" t="s">
        <v>26</v>
      </c>
      <c r="J1069" s="2" t="s">
        <v>27</v>
      </c>
      <c r="K1069" s="2" t="s">
        <v>802</v>
      </c>
      <c r="L1069" s="3">
        <v>0.41875000000000001</v>
      </c>
      <c r="M1069" s="2" t="s">
        <v>171</v>
      </c>
      <c r="N1069" s="2" t="s">
        <v>500</v>
      </c>
      <c r="O1069" s="2"/>
    </row>
    <row r="1070" spans="1:15" x14ac:dyDescent="0.25">
      <c r="A1070" s="2" t="s">
        <v>15</v>
      </c>
      <c r="B1070" s="2" t="str">
        <f>"FES1162768611"</f>
        <v>FES1162768611</v>
      </c>
      <c r="C1070" s="2" t="s">
        <v>698</v>
      </c>
      <c r="D1070" s="2">
        <v>1</v>
      </c>
      <c r="E1070" s="2" t="str">
        <f>"2170755993"</f>
        <v>2170755993</v>
      </c>
      <c r="F1070" s="2" t="s">
        <v>17</v>
      </c>
      <c r="G1070" s="2" t="s">
        <v>18</v>
      </c>
      <c r="H1070" s="2" t="s">
        <v>19</v>
      </c>
      <c r="I1070" s="2" t="s">
        <v>111</v>
      </c>
      <c r="J1070" s="2" t="s">
        <v>369</v>
      </c>
      <c r="K1070" s="2" t="s">
        <v>802</v>
      </c>
      <c r="L1070" s="3">
        <v>0.49305555555555558</v>
      </c>
      <c r="M1070" s="2" t="s">
        <v>370</v>
      </c>
      <c r="N1070" s="2" t="s">
        <v>500</v>
      </c>
      <c r="O1070" s="2"/>
    </row>
    <row r="1071" spans="1:15" x14ac:dyDescent="0.25">
      <c r="A1071" s="2" t="s">
        <v>15</v>
      </c>
      <c r="B1071" s="2" t="str">
        <f>"FES1162768579"</f>
        <v>FES1162768579</v>
      </c>
      <c r="C1071" s="2" t="s">
        <v>698</v>
      </c>
      <c r="D1071" s="2">
        <v>1</v>
      </c>
      <c r="E1071" s="2" t="str">
        <f>"2170754006"</f>
        <v>2170754006</v>
      </c>
      <c r="F1071" s="2" t="s">
        <v>17</v>
      </c>
      <c r="G1071" s="2" t="s">
        <v>18</v>
      </c>
      <c r="H1071" s="2" t="s">
        <v>78</v>
      </c>
      <c r="I1071" s="2" t="s">
        <v>79</v>
      </c>
      <c r="J1071" s="2" t="s">
        <v>81</v>
      </c>
      <c r="K1071" s="2" t="s">
        <v>802</v>
      </c>
      <c r="L1071" s="3">
        <v>0.36458333333333331</v>
      </c>
      <c r="M1071" s="2" t="s">
        <v>1010</v>
      </c>
      <c r="N1071" s="2" t="s">
        <v>500</v>
      </c>
      <c r="O1071" s="2"/>
    </row>
    <row r="1072" spans="1:15" x14ac:dyDescent="0.25">
      <c r="A1072" s="2" t="s">
        <v>15</v>
      </c>
      <c r="B1072" s="2" t="str">
        <f>"FES1162768556"</f>
        <v>FES1162768556</v>
      </c>
      <c r="C1072" s="2" t="s">
        <v>698</v>
      </c>
      <c r="D1072" s="2">
        <v>1</v>
      </c>
      <c r="E1072" s="2" t="str">
        <f>"2170753658"</f>
        <v>2170753658</v>
      </c>
      <c r="F1072" s="2" t="s">
        <v>17</v>
      </c>
      <c r="G1072" s="2" t="s">
        <v>18</v>
      </c>
      <c r="H1072" s="2" t="s">
        <v>19</v>
      </c>
      <c r="I1072" s="2" t="s">
        <v>111</v>
      </c>
      <c r="J1072" s="2" t="s">
        <v>112</v>
      </c>
      <c r="K1072" s="2" t="s">
        <v>802</v>
      </c>
      <c r="L1072" s="3">
        <v>0.50694444444444442</v>
      </c>
      <c r="M1072" s="2" t="s">
        <v>986</v>
      </c>
      <c r="N1072" s="2" t="s">
        <v>500</v>
      </c>
      <c r="O1072" s="2"/>
    </row>
    <row r="1073" spans="1:15" x14ac:dyDescent="0.25">
      <c r="A1073" s="2" t="s">
        <v>15</v>
      </c>
      <c r="B1073" s="2" t="str">
        <f>"FES1162768651"</f>
        <v>FES1162768651</v>
      </c>
      <c r="C1073" s="2" t="s">
        <v>698</v>
      </c>
      <c r="D1073" s="2">
        <v>1</v>
      </c>
      <c r="E1073" s="2" t="str">
        <f>"2170753568"</f>
        <v>2170753568</v>
      </c>
      <c r="F1073" s="2" t="s">
        <v>17</v>
      </c>
      <c r="G1073" s="2" t="s">
        <v>18</v>
      </c>
      <c r="H1073" s="2" t="s">
        <v>25</v>
      </c>
      <c r="I1073" s="2" t="s">
        <v>39</v>
      </c>
      <c r="J1073" s="2" t="s">
        <v>40</v>
      </c>
      <c r="K1073" s="2" t="s">
        <v>802</v>
      </c>
      <c r="L1073" s="3">
        <v>0.48819444444444443</v>
      </c>
      <c r="M1073" s="2" t="s">
        <v>991</v>
      </c>
      <c r="N1073" s="2" t="s">
        <v>500</v>
      </c>
      <c r="O1073" s="2"/>
    </row>
    <row r="1074" spans="1:15" x14ac:dyDescent="0.25">
      <c r="A1074" s="2" t="s">
        <v>15</v>
      </c>
      <c r="B1074" s="2" t="str">
        <f>"FES1162768663"</f>
        <v>FES1162768663</v>
      </c>
      <c r="C1074" s="2" t="s">
        <v>698</v>
      </c>
      <c r="D1074" s="2">
        <v>1</v>
      </c>
      <c r="E1074" s="2" t="str">
        <f>"2170754046"</f>
        <v>2170754046</v>
      </c>
      <c r="F1074" s="2" t="s">
        <v>17</v>
      </c>
      <c r="G1074" s="2" t="s">
        <v>18</v>
      </c>
      <c r="H1074" s="2" t="s">
        <v>25</v>
      </c>
      <c r="I1074" s="2" t="s">
        <v>26</v>
      </c>
      <c r="J1074" s="2" t="s">
        <v>474</v>
      </c>
      <c r="K1074" s="2" t="s">
        <v>802</v>
      </c>
      <c r="L1074" s="3">
        <v>0.41666666666666669</v>
      </c>
      <c r="M1074" s="2" t="s">
        <v>583</v>
      </c>
      <c r="N1074" s="2" t="s">
        <v>500</v>
      </c>
      <c r="O1074" s="2"/>
    </row>
    <row r="1075" spans="1:15" x14ac:dyDescent="0.25">
      <c r="A1075" s="2" t="s">
        <v>15</v>
      </c>
      <c r="B1075" s="2" t="str">
        <f>"FES1162768739"</f>
        <v>FES1162768739</v>
      </c>
      <c r="C1075" s="2" t="s">
        <v>698</v>
      </c>
      <c r="D1075" s="2">
        <v>1</v>
      </c>
      <c r="E1075" s="2" t="str">
        <f>"2170754063"</f>
        <v>2170754063</v>
      </c>
      <c r="F1075" s="2" t="s">
        <v>17</v>
      </c>
      <c r="G1075" s="2" t="s">
        <v>18</v>
      </c>
      <c r="H1075" s="2" t="s">
        <v>19</v>
      </c>
      <c r="I1075" s="2" t="s">
        <v>269</v>
      </c>
      <c r="J1075" s="2" t="s">
        <v>655</v>
      </c>
      <c r="K1075" s="2" t="s">
        <v>802</v>
      </c>
      <c r="L1075" s="3">
        <v>0.36249999999999999</v>
      </c>
      <c r="M1075" s="2" t="s">
        <v>1012</v>
      </c>
      <c r="N1075" s="2" t="s">
        <v>500</v>
      </c>
      <c r="O1075" s="2"/>
    </row>
    <row r="1076" spans="1:15" x14ac:dyDescent="0.25">
      <c r="A1076" s="2" t="s">
        <v>15</v>
      </c>
      <c r="B1076" s="2" t="str">
        <f>"FES1162768716"</f>
        <v>FES1162768716</v>
      </c>
      <c r="C1076" s="2" t="s">
        <v>698</v>
      </c>
      <c r="D1076" s="2">
        <v>1</v>
      </c>
      <c r="E1076" s="2" t="str">
        <f>"2170753006"</f>
        <v>2170753006</v>
      </c>
      <c r="F1076" s="2" t="s">
        <v>17</v>
      </c>
      <c r="G1076" s="2" t="s">
        <v>18</v>
      </c>
      <c r="H1076" s="2" t="s">
        <v>25</v>
      </c>
      <c r="I1076" s="2" t="s">
        <v>26</v>
      </c>
      <c r="J1076" s="2" t="s">
        <v>27</v>
      </c>
      <c r="K1076" s="2" t="s">
        <v>802</v>
      </c>
      <c r="L1076" s="3">
        <v>0.41805555555555557</v>
      </c>
      <c r="M1076" s="2" t="s">
        <v>171</v>
      </c>
      <c r="N1076" s="2" t="s">
        <v>500</v>
      </c>
      <c r="O1076" s="2"/>
    </row>
    <row r="1077" spans="1:15" x14ac:dyDescent="0.25">
      <c r="A1077" s="2" t="s">
        <v>15</v>
      </c>
      <c r="B1077" s="2" t="str">
        <f>"FES1162768706"</f>
        <v>FES1162768706</v>
      </c>
      <c r="C1077" s="2" t="s">
        <v>698</v>
      </c>
      <c r="D1077" s="2">
        <v>1</v>
      </c>
      <c r="E1077" s="2" t="str">
        <f>"2170756454"</f>
        <v>2170756454</v>
      </c>
      <c r="F1077" s="2" t="s">
        <v>17</v>
      </c>
      <c r="G1077" s="2" t="s">
        <v>18</v>
      </c>
      <c r="H1077" s="2" t="s">
        <v>25</v>
      </c>
      <c r="I1077" s="2" t="s">
        <v>125</v>
      </c>
      <c r="J1077" s="2" t="s">
        <v>126</v>
      </c>
      <c r="K1077" s="2" t="s">
        <v>802</v>
      </c>
      <c r="L1077" s="3">
        <v>0.4826388888888889</v>
      </c>
      <c r="M1077" s="2" t="s">
        <v>949</v>
      </c>
      <c r="N1077" s="2" t="s">
        <v>500</v>
      </c>
      <c r="O1077" s="2"/>
    </row>
    <row r="1078" spans="1:15" x14ac:dyDescent="0.25">
      <c r="A1078" s="2" t="s">
        <v>15</v>
      </c>
      <c r="B1078" s="2" t="str">
        <f>"FES1162768514"</f>
        <v>FES1162768514</v>
      </c>
      <c r="C1078" s="2" t="s">
        <v>698</v>
      </c>
      <c r="D1078" s="2">
        <v>2</v>
      </c>
      <c r="E1078" s="2" t="str">
        <f>"2170756383"</f>
        <v>2170756383</v>
      </c>
      <c r="F1078" s="2" t="s">
        <v>205</v>
      </c>
      <c r="G1078" s="2" t="s">
        <v>206</v>
      </c>
      <c r="H1078" s="2" t="s">
        <v>19</v>
      </c>
      <c r="I1078" s="2" t="s">
        <v>111</v>
      </c>
      <c r="J1078" s="2" t="s">
        <v>143</v>
      </c>
      <c r="K1078" s="2" t="s">
        <v>1008</v>
      </c>
      <c r="L1078" s="3">
        <v>0.31041666666666667</v>
      </c>
      <c r="M1078" s="2" t="s">
        <v>144</v>
      </c>
      <c r="N1078" s="2" t="s">
        <v>500</v>
      </c>
      <c r="O1078" s="2"/>
    </row>
    <row r="1079" spans="1:15" x14ac:dyDescent="0.25">
      <c r="A1079" s="2" t="s">
        <v>15</v>
      </c>
      <c r="B1079" s="2" t="str">
        <f>"FES1162768790"</f>
        <v>FES1162768790</v>
      </c>
      <c r="C1079" s="2" t="s">
        <v>698</v>
      </c>
      <c r="D1079" s="2">
        <v>1</v>
      </c>
      <c r="E1079" s="2" t="str">
        <f>"2170754340"</f>
        <v>2170754340</v>
      </c>
      <c r="F1079" s="2" t="s">
        <v>17</v>
      </c>
      <c r="G1079" s="2" t="s">
        <v>18</v>
      </c>
      <c r="H1079" s="2" t="s">
        <v>25</v>
      </c>
      <c r="I1079" s="2" t="s">
        <v>42</v>
      </c>
      <c r="J1079" s="2" t="s">
        <v>43</v>
      </c>
      <c r="K1079" s="2" t="s">
        <v>802</v>
      </c>
      <c r="L1079" s="3">
        <v>0.54166666666666663</v>
      </c>
      <c r="M1079" s="2" t="s">
        <v>937</v>
      </c>
      <c r="N1079" s="2" t="s">
        <v>500</v>
      </c>
      <c r="O1079" s="2"/>
    </row>
    <row r="1080" spans="1:15" x14ac:dyDescent="0.25">
      <c r="A1080" s="2" t="s">
        <v>15</v>
      </c>
      <c r="B1080" s="2" t="str">
        <f>"FES1162768742"</f>
        <v>FES1162768742</v>
      </c>
      <c r="C1080" s="2" t="s">
        <v>698</v>
      </c>
      <c r="D1080" s="2">
        <v>1</v>
      </c>
      <c r="E1080" s="2" t="str">
        <f>"2170754376"</f>
        <v>2170754376</v>
      </c>
      <c r="F1080" s="2" t="s">
        <v>17</v>
      </c>
      <c r="G1080" s="2" t="s">
        <v>18</v>
      </c>
      <c r="H1080" s="2" t="s">
        <v>25</v>
      </c>
      <c r="I1080" s="2" t="s">
        <v>26</v>
      </c>
      <c r="J1080" s="2" t="s">
        <v>27</v>
      </c>
      <c r="K1080" s="2" t="s">
        <v>802</v>
      </c>
      <c r="L1080" s="3">
        <v>0.41805555555555557</v>
      </c>
      <c r="M1080" s="2" t="s">
        <v>171</v>
      </c>
      <c r="N1080" s="2" t="s">
        <v>500</v>
      </c>
      <c r="O1080" s="2"/>
    </row>
    <row r="1081" spans="1:15" x14ac:dyDescent="0.25">
      <c r="A1081" s="2" t="s">
        <v>15</v>
      </c>
      <c r="B1081" s="2" t="str">
        <f>"FES1162768932"</f>
        <v>FES1162768932</v>
      </c>
      <c r="C1081" s="2" t="s">
        <v>698</v>
      </c>
      <c r="D1081" s="2">
        <v>1</v>
      </c>
      <c r="E1081" s="2" t="str">
        <f>"2170756517"</f>
        <v>2170756517</v>
      </c>
      <c r="F1081" s="2" t="s">
        <v>17</v>
      </c>
      <c r="G1081" s="2" t="s">
        <v>18</v>
      </c>
      <c r="H1081" s="2" t="s">
        <v>25</v>
      </c>
      <c r="I1081" s="2" t="s">
        <v>39</v>
      </c>
      <c r="J1081" s="2" t="s">
        <v>40</v>
      </c>
      <c r="K1081" s="2" t="s">
        <v>802</v>
      </c>
      <c r="L1081" s="3">
        <v>0.48749999999999999</v>
      </c>
      <c r="M1081" s="2" t="s">
        <v>991</v>
      </c>
      <c r="N1081" s="2" t="s">
        <v>500</v>
      </c>
      <c r="O1081" s="2"/>
    </row>
    <row r="1082" spans="1:15" x14ac:dyDescent="0.25">
      <c r="A1082" s="2" t="s">
        <v>15</v>
      </c>
      <c r="B1082" s="2" t="str">
        <f>"FES1162768571"</f>
        <v>FES1162768571</v>
      </c>
      <c r="C1082" s="2" t="s">
        <v>698</v>
      </c>
      <c r="D1082" s="2">
        <v>1</v>
      </c>
      <c r="E1082" s="2" t="str">
        <f>"210753949"</f>
        <v>210753949</v>
      </c>
      <c r="F1082" s="2" t="s">
        <v>17</v>
      </c>
      <c r="G1082" s="2" t="s">
        <v>18</v>
      </c>
      <c r="H1082" s="2" t="s">
        <v>19</v>
      </c>
      <c r="I1082" s="2" t="s">
        <v>20</v>
      </c>
      <c r="J1082" s="2" t="s">
        <v>21</v>
      </c>
      <c r="K1082" s="2" t="s">
        <v>802</v>
      </c>
      <c r="L1082" s="3">
        <v>0.38125000000000003</v>
      </c>
      <c r="M1082" s="2" t="s">
        <v>682</v>
      </c>
      <c r="N1082" s="2" t="s">
        <v>500</v>
      </c>
      <c r="O1082" s="2"/>
    </row>
    <row r="1083" spans="1:15" x14ac:dyDescent="0.25">
      <c r="A1083" s="2" t="s">
        <v>15</v>
      </c>
      <c r="B1083" s="2" t="str">
        <f>"FES1162768505"</f>
        <v>FES1162768505</v>
      </c>
      <c r="C1083" s="2" t="s">
        <v>698</v>
      </c>
      <c r="D1083" s="2">
        <v>2</v>
      </c>
      <c r="E1083" s="2" t="str">
        <f>"2170755993"</f>
        <v>2170755993</v>
      </c>
      <c r="F1083" s="2" t="s">
        <v>17</v>
      </c>
      <c r="G1083" s="2" t="s">
        <v>18</v>
      </c>
      <c r="H1083" s="2" t="s">
        <v>19</v>
      </c>
      <c r="I1083" s="2" t="s">
        <v>111</v>
      </c>
      <c r="J1083" s="2" t="s">
        <v>369</v>
      </c>
      <c r="K1083" s="2" t="s">
        <v>802</v>
      </c>
      <c r="L1083" s="3">
        <v>0.49374999999999997</v>
      </c>
      <c r="M1083" s="2" t="s">
        <v>370</v>
      </c>
      <c r="N1083" s="2" t="s">
        <v>500</v>
      </c>
      <c r="O1083" s="2"/>
    </row>
    <row r="1084" spans="1:15" x14ac:dyDescent="0.25">
      <c r="A1084" s="14" t="s">
        <v>15</v>
      </c>
      <c r="B1084" s="14" t="str">
        <f>"FES1162768504"</f>
        <v>FES1162768504</v>
      </c>
      <c r="C1084" s="14" t="s">
        <v>698</v>
      </c>
      <c r="D1084" s="14">
        <v>1</v>
      </c>
      <c r="E1084" s="14" t="str">
        <f>"2170755978"</f>
        <v>2170755978</v>
      </c>
      <c r="F1084" s="14" t="s">
        <v>17</v>
      </c>
      <c r="G1084" s="14" t="s">
        <v>18</v>
      </c>
      <c r="H1084" s="14" t="s">
        <v>78</v>
      </c>
      <c r="I1084" s="14" t="s">
        <v>79</v>
      </c>
      <c r="J1084" s="14" t="s">
        <v>630</v>
      </c>
      <c r="K1084" s="14" t="s">
        <v>1266</v>
      </c>
      <c r="L1084" s="14"/>
      <c r="M1084" s="14" t="s">
        <v>23</v>
      </c>
      <c r="N1084" s="14" t="s">
        <v>175</v>
      </c>
      <c r="O1084" s="14"/>
    </row>
    <row r="1085" spans="1:15" x14ac:dyDescent="0.25">
      <c r="A1085" s="2" t="s">
        <v>15</v>
      </c>
      <c r="B1085" s="2" t="str">
        <f>"FES1162768715"</f>
        <v>FES1162768715</v>
      </c>
      <c r="C1085" s="2" t="s">
        <v>698</v>
      </c>
      <c r="D1085" s="2">
        <v>1</v>
      </c>
      <c r="E1085" s="2" t="str">
        <f>"2170753001"</f>
        <v>2170753001</v>
      </c>
      <c r="F1085" s="2" t="s">
        <v>17</v>
      </c>
      <c r="G1085" s="2" t="s">
        <v>18</v>
      </c>
      <c r="H1085" s="2" t="s">
        <v>25</v>
      </c>
      <c r="I1085" s="2" t="s">
        <v>26</v>
      </c>
      <c r="J1085" s="2" t="s">
        <v>27</v>
      </c>
      <c r="K1085" s="2" t="s">
        <v>802</v>
      </c>
      <c r="L1085" s="3">
        <v>0.41666666666666669</v>
      </c>
      <c r="M1085" s="2" t="s">
        <v>171</v>
      </c>
      <c r="N1085" s="2" t="s">
        <v>500</v>
      </c>
      <c r="O1085" s="2"/>
    </row>
    <row r="1086" spans="1:15" x14ac:dyDescent="0.25">
      <c r="A1086" s="2" t="s">
        <v>15</v>
      </c>
      <c r="B1086" s="2" t="str">
        <f>"FES1162768951"</f>
        <v>FES1162768951</v>
      </c>
      <c r="C1086" s="2" t="s">
        <v>698</v>
      </c>
      <c r="D1086" s="2">
        <v>1</v>
      </c>
      <c r="E1086" s="2" t="str">
        <f>"2170756540"</f>
        <v>2170756540</v>
      </c>
      <c r="F1086" s="2" t="s">
        <v>17</v>
      </c>
      <c r="G1086" s="2" t="s">
        <v>18</v>
      </c>
      <c r="H1086" s="2" t="s">
        <v>36</v>
      </c>
      <c r="I1086" s="2" t="s">
        <v>37</v>
      </c>
      <c r="J1086" s="2" t="s">
        <v>55</v>
      </c>
      <c r="K1086" s="2" t="s">
        <v>802</v>
      </c>
      <c r="L1086" s="3">
        <v>0.40277777777777773</v>
      </c>
      <c r="M1086" s="2" t="s">
        <v>305</v>
      </c>
      <c r="N1086" s="2" t="s">
        <v>500</v>
      </c>
      <c r="O1086" s="2"/>
    </row>
    <row r="1087" spans="1:15" x14ac:dyDescent="0.25">
      <c r="A1087" s="2" t="s">
        <v>15</v>
      </c>
      <c r="B1087" s="2" t="str">
        <f>"FES1162768941"</f>
        <v>FES1162768941</v>
      </c>
      <c r="C1087" s="2" t="s">
        <v>698</v>
      </c>
      <c r="D1087" s="2">
        <v>1</v>
      </c>
      <c r="E1087" s="2" t="str">
        <f>"2170756529"</f>
        <v>2170756529</v>
      </c>
      <c r="F1087" s="2" t="s">
        <v>17</v>
      </c>
      <c r="G1087" s="2" t="s">
        <v>18</v>
      </c>
      <c r="H1087" s="2" t="s">
        <v>18</v>
      </c>
      <c r="I1087" s="2" t="s">
        <v>478</v>
      </c>
      <c r="J1087" s="2" t="s">
        <v>914</v>
      </c>
      <c r="K1087" s="2" t="s">
        <v>802</v>
      </c>
      <c r="L1087" s="3">
        <v>0.375</v>
      </c>
      <c r="M1087" s="2" t="s">
        <v>930</v>
      </c>
      <c r="N1087" s="2" t="s">
        <v>500</v>
      </c>
      <c r="O1087" s="2"/>
    </row>
    <row r="1088" spans="1:15" x14ac:dyDescent="0.25">
      <c r="A1088" s="2" t="s">
        <v>15</v>
      </c>
      <c r="B1088" s="2" t="str">
        <f>"FES1162768907"</f>
        <v>FES1162768907</v>
      </c>
      <c r="C1088" s="2" t="s">
        <v>698</v>
      </c>
      <c r="D1088" s="2">
        <v>1</v>
      </c>
      <c r="E1088" s="2" t="str">
        <f>"2170756497"</f>
        <v>2170756497</v>
      </c>
      <c r="F1088" s="2" t="s">
        <v>17</v>
      </c>
      <c r="G1088" s="2" t="s">
        <v>18</v>
      </c>
      <c r="H1088" s="2" t="s">
        <v>25</v>
      </c>
      <c r="I1088" s="2" t="s">
        <v>26</v>
      </c>
      <c r="J1088" s="2" t="s">
        <v>100</v>
      </c>
      <c r="K1088" s="2" t="s">
        <v>802</v>
      </c>
      <c r="L1088" s="3">
        <v>0.36319444444444443</v>
      </c>
      <c r="M1088" s="2" t="s">
        <v>935</v>
      </c>
      <c r="N1088" s="2" t="s">
        <v>500</v>
      </c>
      <c r="O1088" s="2"/>
    </row>
    <row r="1089" spans="1:15" x14ac:dyDescent="0.25">
      <c r="A1089" s="2" t="s">
        <v>15</v>
      </c>
      <c r="B1089" s="2" t="str">
        <f>"FES1162768849"</f>
        <v>FES1162768849</v>
      </c>
      <c r="C1089" s="2" t="s">
        <v>698</v>
      </c>
      <c r="D1089" s="2">
        <v>1</v>
      </c>
      <c r="E1089" s="2" t="str">
        <f>"2170754152"</f>
        <v>2170754152</v>
      </c>
      <c r="F1089" s="2" t="s">
        <v>17</v>
      </c>
      <c r="G1089" s="2" t="s">
        <v>18</v>
      </c>
      <c r="H1089" s="2" t="s">
        <v>25</v>
      </c>
      <c r="I1089" s="2" t="s">
        <v>26</v>
      </c>
      <c r="J1089" s="2" t="s">
        <v>75</v>
      </c>
      <c r="K1089" s="2" t="s">
        <v>802</v>
      </c>
      <c r="L1089" s="3">
        <v>0.35486111111111113</v>
      </c>
      <c r="M1089" s="2" t="s">
        <v>196</v>
      </c>
      <c r="N1089" s="2" t="s">
        <v>500</v>
      </c>
      <c r="O1089" s="2"/>
    </row>
    <row r="1090" spans="1:15" x14ac:dyDescent="0.25">
      <c r="A1090" s="2" t="s">
        <v>15</v>
      </c>
      <c r="B1090" s="2" t="str">
        <f>"FES1162768841"</f>
        <v>FES1162768841</v>
      </c>
      <c r="C1090" s="2" t="s">
        <v>698</v>
      </c>
      <c r="D1090" s="2">
        <v>1</v>
      </c>
      <c r="E1090" s="2" t="str">
        <f>"2170754105"</f>
        <v>2170754105</v>
      </c>
      <c r="F1090" s="2" t="s">
        <v>17</v>
      </c>
      <c r="G1090" s="2" t="s">
        <v>18</v>
      </c>
      <c r="H1090" s="2" t="s">
        <v>88</v>
      </c>
      <c r="I1090" s="2" t="s">
        <v>109</v>
      </c>
      <c r="J1090" s="2" t="s">
        <v>110</v>
      </c>
      <c r="K1090" s="2" t="s">
        <v>802</v>
      </c>
      <c r="L1090" s="3">
        <v>0.3972222222222222</v>
      </c>
      <c r="M1090" s="2" t="s">
        <v>224</v>
      </c>
      <c r="N1090" s="2" t="s">
        <v>500</v>
      </c>
      <c r="O1090" s="2"/>
    </row>
    <row r="1091" spans="1:15" x14ac:dyDescent="0.25">
      <c r="A1091" s="2" t="s">
        <v>15</v>
      </c>
      <c r="B1091" s="2" t="str">
        <f>"FES1162768488"</f>
        <v>FES1162768488</v>
      </c>
      <c r="C1091" s="2" t="s">
        <v>698</v>
      </c>
      <c r="D1091" s="2">
        <v>1</v>
      </c>
      <c r="E1091" s="2" t="str">
        <f>"2170754197"</f>
        <v>2170754197</v>
      </c>
      <c r="F1091" s="2" t="s">
        <v>17</v>
      </c>
      <c r="G1091" s="2" t="s">
        <v>18</v>
      </c>
      <c r="H1091" s="2" t="s">
        <v>18</v>
      </c>
      <c r="I1091" s="2" t="s">
        <v>82</v>
      </c>
      <c r="J1091" s="2" t="s">
        <v>83</v>
      </c>
      <c r="K1091" s="2" t="s">
        <v>802</v>
      </c>
      <c r="L1091" s="3">
        <v>0.38611111111111113</v>
      </c>
      <c r="M1091" s="2" t="s">
        <v>559</v>
      </c>
      <c r="N1091" s="2" t="s">
        <v>500</v>
      </c>
      <c r="O1091" s="2"/>
    </row>
    <row r="1092" spans="1:15" x14ac:dyDescent="0.25">
      <c r="A1092" s="2" t="s">
        <v>15</v>
      </c>
      <c r="B1092" s="2" t="str">
        <f>"FES1162768945"</f>
        <v>FES1162768945</v>
      </c>
      <c r="C1092" s="2" t="s">
        <v>698</v>
      </c>
      <c r="D1092" s="2">
        <v>1</v>
      </c>
      <c r="E1092" s="2" t="str">
        <f>"2170756112"</f>
        <v>2170756112</v>
      </c>
      <c r="F1092" s="2" t="s">
        <v>17</v>
      </c>
      <c r="G1092" s="2" t="s">
        <v>18</v>
      </c>
      <c r="H1092" s="2" t="s">
        <v>18</v>
      </c>
      <c r="I1092" s="2" t="s">
        <v>116</v>
      </c>
      <c r="J1092" s="2" t="s">
        <v>786</v>
      </c>
      <c r="K1092" s="2" t="s">
        <v>802</v>
      </c>
      <c r="L1092" s="3">
        <v>0.33333333333333331</v>
      </c>
      <c r="M1092" s="2" t="s">
        <v>930</v>
      </c>
      <c r="N1092" s="2" t="s">
        <v>500</v>
      </c>
      <c r="O1092" s="2"/>
    </row>
    <row r="1093" spans="1:15" x14ac:dyDescent="0.25">
      <c r="A1093" s="2" t="s">
        <v>15</v>
      </c>
      <c r="B1093" s="2" t="str">
        <f>"FES1162768636"</f>
        <v>FES1162768636</v>
      </c>
      <c r="C1093" s="2" t="s">
        <v>698</v>
      </c>
      <c r="D1093" s="2">
        <v>1</v>
      </c>
      <c r="E1093" s="2" t="str">
        <f>"2170753368"</f>
        <v>2170753368</v>
      </c>
      <c r="F1093" s="2" t="s">
        <v>17</v>
      </c>
      <c r="G1093" s="2" t="s">
        <v>18</v>
      </c>
      <c r="H1093" s="2" t="s">
        <v>18</v>
      </c>
      <c r="I1093" s="2" t="s">
        <v>57</v>
      </c>
      <c r="J1093" s="2" t="s">
        <v>92</v>
      </c>
      <c r="K1093" s="2" t="s">
        <v>802</v>
      </c>
      <c r="L1093" s="3">
        <v>0.29583333333333334</v>
      </c>
      <c r="M1093" s="2" t="s">
        <v>693</v>
      </c>
      <c r="N1093" s="2" t="s">
        <v>500</v>
      </c>
      <c r="O1093" s="2"/>
    </row>
    <row r="1094" spans="1:15" x14ac:dyDescent="0.25">
      <c r="A1094" s="2" t="s">
        <v>15</v>
      </c>
      <c r="B1094" s="2" t="str">
        <f>"FES1162768554"</f>
        <v>FES1162768554</v>
      </c>
      <c r="C1094" s="2" t="s">
        <v>698</v>
      </c>
      <c r="D1094" s="2">
        <v>1</v>
      </c>
      <c r="E1094" s="2" t="str">
        <f>"2170753368"</f>
        <v>2170753368</v>
      </c>
      <c r="F1094" s="2" t="s">
        <v>17</v>
      </c>
      <c r="G1094" s="2" t="s">
        <v>18</v>
      </c>
      <c r="H1094" s="2" t="s">
        <v>18</v>
      </c>
      <c r="I1094" s="2" t="s">
        <v>57</v>
      </c>
      <c r="J1094" s="2" t="s">
        <v>92</v>
      </c>
      <c r="K1094" s="2" t="s">
        <v>802</v>
      </c>
      <c r="L1094" s="3">
        <v>0.29583333333333334</v>
      </c>
      <c r="M1094" s="2" t="s">
        <v>693</v>
      </c>
      <c r="N1094" s="2" t="s">
        <v>500</v>
      </c>
      <c r="O1094" s="2"/>
    </row>
    <row r="1095" spans="1:15" x14ac:dyDescent="0.25">
      <c r="A1095" s="2" t="s">
        <v>15</v>
      </c>
      <c r="B1095" s="2" t="str">
        <f>"FES1162768949"</f>
        <v>FES1162768949</v>
      </c>
      <c r="C1095" s="2" t="s">
        <v>698</v>
      </c>
      <c r="D1095" s="2">
        <v>1</v>
      </c>
      <c r="E1095" s="2" t="str">
        <f>"2170756537"</f>
        <v>2170756537</v>
      </c>
      <c r="F1095" s="2" t="s">
        <v>17</v>
      </c>
      <c r="G1095" s="2" t="s">
        <v>18</v>
      </c>
      <c r="H1095" s="2" t="s">
        <v>19</v>
      </c>
      <c r="I1095" s="2" t="s">
        <v>111</v>
      </c>
      <c r="J1095" s="2" t="s">
        <v>915</v>
      </c>
      <c r="K1095" s="2" t="s">
        <v>802</v>
      </c>
      <c r="L1095" s="3">
        <v>0.34722222222222227</v>
      </c>
      <c r="M1095" s="2" t="s">
        <v>1013</v>
      </c>
      <c r="N1095" s="2" t="s">
        <v>500</v>
      </c>
      <c r="O1095" s="2"/>
    </row>
    <row r="1096" spans="1:15" x14ac:dyDescent="0.25">
      <c r="A1096" s="2" t="s">
        <v>15</v>
      </c>
      <c r="B1096" s="2" t="str">
        <f>"FES1162768910"</f>
        <v>FES1162768910</v>
      </c>
      <c r="C1096" s="2" t="s">
        <v>698</v>
      </c>
      <c r="D1096" s="2">
        <v>1</v>
      </c>
      <c r="E1096" s="2" t="str">
        <f>"2170755067"</f>
        <v>2170755067</v>
      </c>
      <c r="F1096" s="2" t="s">
        <v>17</v>
      </c>
      <c r="G1096" s="2" t="s">
        <v>18</v>
      </c>
      <c r="H1096" s="2" t="s">
        <v>19</v>
      </c>
      <c r="I1096" s="2" t="s">
        <v>20</v>
      </c>
      <c r="J1096" s="2" t="s">
        <v>77</v>
      </c>
      <c r="K1096" s="2" t="s">
        <v>802</v>
      </c>
      <c r="L1096" s="3">
        <v>0.3125</v>
      </c>
      <c r="M1096" s="2" t="s">
        <v>198</v>
      </c>
      <c r="N1096" s="2" t="s">
        <v>500</v>
      </c>
      <c r="O1096" s="2"/>
    </row>
    <row r="1097" spans="1:15" x14ac:dyDescent="0.25">
      <c r="A1097" s="2" t="s">
        <v>15</v>
      </c>
      <c r="B1097" s="2" t="str">
        <f>"FES1162768660"</f>
        <v>FES1162768660</v>
      </c>
      <c r="C1097" s="2" t="s">
        <v>698</v>
      </c>
      <c r="D1097" s="2">
        <v>1</v>
      </c>
      <c r="E1097" s="2" t="str">
        <f>"2170753850"</f>
        <v>2170753850</v>
      </c>
      <c r="F1097" s="2" t="s">
        <v>17</v>
      </c>
      <c r="G1097" s="2" t="s">
        <v>18</v>
      </c>
      <c r="H1097" s="2" t="s">
        <v>25</v>
      </c>
      <c r="I1097" s="2" t="s">
        <v>39</v>
      </c>
      <c r="J1097" s="2" t="s">
        <v>161</v>
      </c>
      <c r="K1097" s="2" t="s">
        <v>802</v>
      </c>
      <c r="L1097" s="3">
        <v>0.50902777777777775</v>
      </c>
      <c r="M1097" s="2" t="s">
        <v>977</v>
      </c>
      <c r="N1097" s="2" t="s">
        <v>500</v>
      </c>
      <c r="O1097" s="2"/>
    </row>
    <row r="1098" spans="1:15" x14ac:dyDescent="0.25">
      <c r="A1098" s="2" t="s">
        <v>15</v>
      </c>
      <c r="B1098" s="2" t="str">
        <f>"RFES1162767985"</f>
        <v>RFES1162767985</v>
      </c>
      <c r="C1098" s="2" t="s">
        <v>802</v>
      </c>
      <c r="D1098" s="2">
        <v>1</v>
      </c>
      <c r="E1098" s="2" t="str">
        <f>"2170755895"</f>
        <v>2170755895</v>
      </c>
      <c r="F1098" s="2" t="s">
        <v>17</v>
      </c>
      <c r="G1098" s="2" t="s">
        <v>484</v>
      </c>
      <c r="H1098" s="2" t="s">
        <v>18</v>
      </c>
      <c r="I1098" s="2" t="s">
        <v>46</v>
      </c>
      <c r="J1098" s="2" t="s">
        <v>170</v>
      </c>
      <c r="K1098" s="2" t="s">
        <v>1008</v>
      </c>
      <c r="L1098" s="3">
        <v>0.38680555555555557</v>
      </c>
      <c r="M1098" s="2" t="s">
        <v>262</v>
      </c>
      <c r="N1098" s="2" t="s">
        <v>500</v>
      </c>
      <c r="O1098" s="2"/>
    </row>
    <row r="1099" spans="1:15" x14ac:dyDescent="0.25">
      <c r="A1099" s="2" t="s">
        <v>15</v>
      </c>
      <c r="B1099" s="2" t="str">
        <f>"FES1162768506"</f>
        <v>FES1162768506</v>
      </c>
      <c r="C1099" s="2" t="s">
        <v>802</v>
      </c>
      <c r="D1099" s="2">
        <v>1</v>
      </c>
      <c r="E1099" s="2" t="str">
        <f>"2170756057"</f>
        <v>2170756057</v>
      </c>
      <c r="F1099" s="2" t="s">
        <v>17</v>
      </c>
      <c r="G1099" s="2" t="s">
        <v>18</v>
      </c>
      <c r="H1099" s="2" t="s">
        <v>19</v>
      </c>
      <c r="I1099" s="2" t="s">
        <v>111</v>
      </c>
      <c r="J1099" s="2" t="s">
        <v>143</v>
      </c>
      <c r="K1099" s="2" t="s">
        <v>1008</v>
      </c>
      <c r="L1099" s="3">
        <v>0.32916666666666666</v>
      </c>
      <c r="M1099" s="2" t="s">
        <v>144</v>
      </c>
      <c r="N1099" s="2" t="s">
        <v>500</v>
      </c>
      <c r="O1099" s="2"/>
    </row>
    <row r="1100" spans="1:15" x14ac:dyDescent="0.25">
      <c r="A1100" s="2" t="s">
        <v>15</v>
      </c>
      <c r="B1100" s="2" t="str">
        <f>"FES1162768569"</f>
        <v>FES1162768569</v>
      </c>
      <c r="C1100" s="2" t="s">
        <v>802</v>
      </c>
      <c r="D1100" s="2">
        <v>1</v>
      </c>
      <c r="E1100" s="2" t="str">
        <f>"2170753922"</f>
        <v>2170753922</v>
      </c>
      <c r="F1100" s="2" t="s">
        <v>17</v>
      </c>
      <c r="G1100" s="2" t="s">
        <v>18</v>
      </c>
      <c r="H1100" s="2" t="s">
        <v>36</v>
      </c>
      <c r="I1100" s="2" t="s">
        <v>134</v>
      </c>
      <c r="J1100" s="2" t="s">
        <v>135</v>
      </c>
      <c r="K1100" s="2" t="s">
        <v>1008</v>
      </c>
      <c r="L1100" s="3">
        <v>0.63055555555555554</v>
      </c>
      <c r="M1100" s="2" t="s">
        <v>1055</v>
      </c>
      <c r="N1100" s="2" t="s">
        <v>500</v>
      </c>
      <c r="O1100" s="2"/>
    </row>
    <row r="1101" spans="1:15" x14ac:dyDescent="0.25">
      <c r="A1101" s="2" t="s">
        <v>15</v>
      </c>
      <c r="B1101" s="2" t="str">
        <f>"FES1162768973"</f>
        <v>FES1162768973</v>
      </c>
      <c r="C1101" s="2" t="s">
        <v>802</v>
      </c>
      <c r="D1101" s="2">
        <v>1</v>
      </c>
      <c r="E1101" s="2" t="str">
        <f>"2170756325"</f>
        <v>2170756325</v>
      </c>
      <c r="F1101" s="2" t="s">
        <v>17</v>
      </c>
      <c r="G1101" s="2" t="s">
        <v>18</v>
      </c>
      <c r="H1101" s="2" t="s">
        <v>33</v>
      </c>
      <c r="I1101" s="2" t="s">
        <v>34</v>
      </c>
      <c r="J1101" s="2" t="s">
        <v>783</v>
      </c>
      <c r="K1101" s="2" t="s">
        <v>1008</v>
      </c>
      <c r="L1101" s="3">
        <v>0.40347222222222223</v>
      </c>
      <c r="M1101" s="2" t="s">
        <v>1056</v>
      </c>
      <c r="N1101" s="2" t="s">
        <v>500</v>
      </c>
      <c r="O1101" s="2"/>
    </row>
    <row r="1102" spans="1:15" x14ac:dyDescent="0.25">
      <c r="A1102" s="2" t="s">
        <v>15</v>
      </c>
      <c r="B1102" s="2" t="str">
        <f>"FES1162769001"</f>
        <v>FES1162769001</v>
      </c>
      <c r="C1102" s="2" t="s">
        <v>802</v>
      </c>
      <c r="D1102" s="2">
        <v>1</v>
      </c>
      <c r="E1102" s="2" t="str">
        <f>"2170756575"</f>
        <v>2170756575</v>
      </c>
      <c r="F1102" s="2" t="s">
        <v>17</v>
      </c>
      <c r="G1102" s="2" t="s">
        <v>18</v>
      </c>
      <c r="H1102" s="2" t="s">
        <v>18</v>
      </c>
      <c r="I1102" s="2" t="s">
        <v>95</v>
      </c>
      <c r="J1102" s="2" t="s">
        <v>96</v>
      </c>
      <c r="K1102" s="2" t="s">
        <v>1008</v>
      </c>
      <c r="L1102" s="3">
        <v>0.375</v>
      </c>
      <c r="M1102" s="2" t="s">
        <v>1057</v>
      </c>
      <c r="N1102" s="2" t="s">
        <v>500</v>
      </c>
      <c r="O1102" s="2"/>
    </row>
    <row r="1103" spans="1:15" x14ac:dyDescent="0.25">
      <c r="A1103" s="2" t="s">
        <v>15</v>
      </c>
      <c r="B1103" s="2" t="str">
        <f>"FES1162768867"</f>
        <v>FES1162768867</v>
      </c>
      <c r="C1103" s="2" t="s">
        <v>802</v>
      </c>
      <c r="D1103" s="2">
        <v>1</v>
      </c>
      <c r="E1103" s="2" t="str">
        <f>"2170754258"</f>
        <v>2170754258</v>
      </c>
      <c r="F1103" s="2" t="s">
        <v>17</v>
      </c>
      <c r="G1103" s="2" t="s">
        <v>18</v>
      </c>
      <c r="H1103" s="2" t="s">
        <v>88</v>
      </c>
      <c r="I1103" s="2" t="s">
        <v>109</v>
      </c>
      <c r="J1103" s="2" t="s">
        <v>635</v>
      </c>
      <c r="K1103" s="2" t="s">
        <v>1008</v>
      </c>
      <c r="L1103" s="3">
        <v>0.43194444444444446</v>
      </c>
      <c r="M1103" s="2" t="s">
        <v>1058</v>
      </c>
      <c r="N1103" s="2" t="s">
        <v>500</v>
      </c>
      <c r="O1103" s="2"/>
    </row>
    <row r="1104" spans="1:15" x14ac:dyDescent="0.25">
      <c r="A1104" s="2" t="s">
        <v>15</v>
      </c>
      <c r="B1104" s="2" t="str">
        <f>"FES1162768498"</f>
        <v>FES1162768498</v>
      </c>
      <c r="C1104" s="2" t="s">
        <v>802</v>
      </c>
      <c r="D1104" s="2">
        <v>1</v>
      </c>
      <c r="E1104" s="2" t="str">
        <f>"2170755312"</f>
        <v>2170755312</v>
      </c>
      <c r="F1104" s="2" t="s">
        <v>17</v>
      </c>
      <c r="G1104" s="2" t="s">
        <v>18</v>
      </c>
      <c r="H1104" s="2" t="s">
        <v>19</v>
      </c>
      <c r="I1104" s="2" t="s">
        <v>20</v>
      </c>
      <c r="J1104" s="2" t="s">
        <v>343</v>
      </c>
      <c r="K1104" s="2" t="s">
        <v>1008</v>
      </c>
      <c r="L1104" s="3">
        <v>0.67291666666666661</v>
      </c>
      <c r="M1104" s="2" t="s">
        <v>777</v>
      </c>
      <c r="N1104" s="2" t="s">
        <v>500</v>
      </c>
      <c r="O1104" s="2"/>
    </row>
    <row r="1105" spans="1:15" x14ac:dyDescent="0.25">
      <c r="A1105" s="2" t="s">
        <v>15</v>
      </c>
      <c r="B1105" s="2" t="str">
        <f>"FES1162768872"</f>
        <v>FES1162768872</v>
      </c>
      <c r="C1105" s="2" t="s">
        <v>802</v>
      </c>
      <c r="D1105" s="2">
        <v>1</v>
      </c>
      <c r="E1105" s="2" t="str">
        <f>"2170754366"</f>
        <v>2170754366</v>
      </c>
      <c r="F1105" s="2" t="s">
        <v>17</v>
      </c>
      <c r="G1105" s="2" t="s">
        <v>18</v>
      </c>
      <c r="H1105" s="2" t="s">
        <v>25</v>
      </c>
      <c r="I1105" s="2" t="s">
        <v>26</v>
      </c>
      <c r="J1105" s="2" t="s">
        <v>27</v>
      </c>
      <c r="K1105" s="2" t="s">
        <v>1008</v>
      </c>
      <c r="L1105" s="3">
        <v>0.36249999999999999</v>
      </c>
      <c r="M1105" s="2" t="s">
        <v>171</v>
      </c>
      <c r="N1105" s="2" t="s">
        <v>500</v>
      </c>
      <c r="O1105" s="2"/>
    </row>
    <row r="1106" spans="1:15" x14ac:dyDescent="0.25">
      <c r="A1106" s="2" t="s">
        <v>15</v>
      </c>
      <c r="B1106" s="2" t="str">
        <f>"FES1162768599"</f>
        <v>FES1162768599</v>
      </c>
      <c r="C1106" s="2" t="s">
        <v>802</v>
      </c>
      <c r="D1106" s="2">
        <v>1</v>
      </c>
      <c r="E1106" s="2" t="str">
        <f>"2170754659"</f>
        <v>2170754659</v>
      </c>
      <c r="F1106" s="2" t="s">
        <v>17</v>
      </c>
      <c r="G1106" s="2" t="s">
        <v>18</v>
      </c>
      <c r="H1106" s="2" t="s">
        <v>19</v>
      </c>
      <c r="I1106" s="2" t="s">
        <v>130</v>
      </c>
      <c r="J1106" s="2" t="s">
        <v>131</v>
      </c>
      <c r="K1106" s="2" t="s">
        <v>1008</v>
      </c>
      <c r="L1106" s="3">
        <v>0.38263888888888892</v>
      </c>
      <c r="M1106" s="2" t="s">
        <v>236</v>
      </c>
      <c r="N1106" s="2" t="s">
        <v>500</v>
      </c>
      <c r="O1106" s="2"/>
    </row>
    <row r="1107" spans="1:15" x14ac:dyDescent="0.25">
      <c r="A1107" s="2" t="s">
        <v>15</v>
      </c>
      <c r="B1107" s="2" t="str">
        <f>"FES1162768666"</f>
        <v>FES1162768666</v>
      </c>
      <c r="C1107" s="2" t="s">
        <v>802</v>
      </c>
      <c r="D1107" s="2">
        <v>1</v>
      </c>
      <c r="E1107" s="2" t="str">
        <f>"2170754105"</f>
        <v>2170754105</v>
      </c>
      <c r="F1107" s="2" t="s">
        <v>17</v>
      </c>
      <c r="G1107" s="2" t="s">
        <v>18</v>
      </c>
      <c r="H1107" s="2" t="s">
        <v>88</v>
      </c>
      <c r="I1107" s="2" t="s">
        <v>109</v>
      </c>
      <c r="J1107" s="2" t="s">
        <v>110</v>
      </c>
      <c r="K1107" s="2" t="s">
        <v>1008</v>
      </c>
      <c r="L1107" s="3">
        <v>0.38194444444444442</v>
      </c>
      <c r="M1107" s="2" t="s">
        <v>224</v>
      </c>
      <c r="N1107" s="2" t="s">
        <v>500</v>
      </c>
      <c r="O1107" s="2"/>
    </row>
    <row r="1108" spans="1:15" x14ac:dyDescent="0.25">
      <c r="A1108" s="2" t="s">
        <v>15</v>
      </c>
      <c r="B1108" s="2" t="str">
        <f>"FES1162768893"</f>
        <v>FES1162768893</v>
      </c>
      <c r="C1108" s="2" t="s">
        <v>802</v>
      </c>
      <c r="D1108" s="2">
        <v>1</v>
      </c>
      <c r="E1108" s="2" t="str">
        <f>"2170756090"</f>
        <v>2170756090</v>
      </c>
      <c r="F1108" s="2" t="s">
        <v>17</v>
      </c>
      <c r="G1108" s="2" t="s">
        <v>18</v>
      </c>
      <c r="H1108" s="2" t="s">
        <v>19</v>
      </c>
      <c r="I1108" s="2" t="s">
        <v>114</v>
      </c>
      <c r="J1108" s="2" t="s">
        <v>66</v>
      </c>
      <c r="K1108" s="2" t="s">
        <v>1008</v>
      </c>
      <c r="L1108" s="3">
        <v>0.56458333333333333</v>
      </c>
      <c r="M1108" s="2" t="s">
        <v>267</v>
      </c>
      <c r="N1108" s="2" t="s">
        <v>500</v>
      </c>
      <c r="O1108" s="2"/>
    </row>
    <row r="1109" spans="1:15" x14ac:dyDescent="0.25">
      <c r="A1109" s="2" t="s">
        <v>15</v>
      </c>
      <c r="B1109" s="2" t="str">
        <f>"FES1162768533"</f>
        <v>FES1162768533</v>
      </c>
      <c r="C1109" s="2" t="s">
        <v>802</v>
      </c>
      <c r="D1109" s="2">
        <v>1</v>
      </c>
      <c r="E1109" s="2" t="str">
        <f>"2170756426"</f>
        <v>2170756426</v>
      </c>
      <c r="F1109" s="2" t="s">
        <v>17</v>
      </c>
      <c r="G1109" s="2" t="s">
        <v>18</v>
      </c>
      <c r="H1109" s="2" t="s">
        <v>19</v>
      </c>
      <c r="I1109" s="2" t="s">
        <v>20</v>
      </c>
      <c r="J1109" s="2" t="s">
        <v>428</v>
      </c>
      <c r="K1109" s="2" t="s">
        <v>1008</v>
      </c>
      <c r="L1109" s="3">
        <v>0.35486111111111113</v>
      </c>
      <c r="M1109" s="2" t="s">
        <v>533</v>
      </c>
      <c r="N1109" s="2" t="s">
        <v>500</v>
      </c>
      <c r="O1109" s="2"/>
    </row>
    <row r="1110" spans="1:15" x14ac:dyDescent="0.25">
      <c r="A1110" s="5" t="s">
        <v>15</v>
      </c>
      <c r="B1110" s="5" t="str">
        <f>"FES1162768659"</f>
        <v>FES1162768659</v>
      </c>
      <c r="C1110" s="5" t="s">
        <v>802</v>
      </c>
      <c r="D1110" s="5">
        <v>1</v>
      </c>
      <c r="E1110" s="5" t="str">
        <f>"2170753831"</f>
        <v>2170753831</v>
      </c>
      <c r="F1110" s="5" t="s">
        <v>17</v>
      </c>
      <c r="G1110" s="5" t="s">
        <v>18</v>
      </c>
      <c r="H1110" s="5" t="s">
        <v>78</v>
      </c>
      <c r="I1110" s="5" t="s">
        <v>79</v>
      </c>
      <c r="J1110" s="5" t="s">
        <v>446</v>
      </c>
      <c r="K1110" s="5" t="s">
        <v>1008</v>
      </c>
      <c r="L1110" s="9">
        <v>0.37986111111111115</v>
      </c>
      <c r="M1110" s="5" t="s">
        <v>1829</v>
      </c>
      <c r="N1110" s="5" t="s">
        <v>500</v>
      </c>
      <c r="O1110" s="5"/>
    </row>
    <row r="1111" spans="1:15" x14ac:dyDescent="0.25">
      <c r="A1111" s="5" t="s">
        <v>15</v>
      </c>
      <c r="B1111" s="5" t="str">
        <f>"FES1162768887"</f>
        <v>FES1162768887</v>
      </c>
      <c r="C1111" s="5" t="s">
        <v>802</v>
      </c>
      <c r="D1111" s="5">
        <v>1</v>
      </c>
      <c r="E1111" s="5" t="str">
        <f>"2170755209"</f>
        <v>2170755209</v>
      </c>
      <c r="F1111" s="5" t="s">
        <v>17</v>
      </c>
      <c r="G1111" s="5" t="s">
        <v>18</v>
      </c>
      <c r="H1111" s="5" t="s">
        <v>88</v>
      </c>
      <c r="I1111" s="5" t="s">
        <v>109</v>
      </c>
      <c r="J1111" s="5" t="s">
        <v>462</v>
      </c>
      <c r="K1111" s="5" t="s">
        <v>1190</v>
      </c>
      <c r="L1111" s="9">
        <v>0.42152777777777778</v>
      </c>
      <c r="M1111" s="5" t="s">
        <v>1327</v>
      </c>
      <c r="N1111" s="5" t="s">
        <v>500</v>
      </c>
      <c r="O1111" s="5"/>
    </row>
    <row r="1112" spans="1:15" x14ac:dyDescent="0.25">
      <c r="A1112" s="2" t="s">
        <v>15</v>
      </c>
      <c r="B1112" s="2" t="str">
        <f>"FES1162768681"</f>
        <v>FES1162768681</v>
      </c>
      <c r="C1112" s="2" t="s">
        <v>802</v>
      </c>
      <c r="D1112" s="2">
        <v>1</v>
      </c>
      <c r="E1112" s="2" t="str">
        <f>"2170755377"</f>
        <v>2170755377</v>
      </c>
      <c r="F1112" s="2" t="s">
        <v>17</v>
      </c>
      <c r="G1112" s="2" t="s">
        <v>18</v>
      </c>
      <c r="H1112" s="2" t="s">
        <v>19</v>
      </c>
      <c r="I1112" s="2" t="s">
        <v>111</v>
      </c>
      <c r="J1112" s="2" t="s">
        <v>1014</v>
      </c>
      <c r="K1112" s="2" t="s">
        <v>1008</v>
      </c>
      <c r="L1112" s="3">
        <v>0.41597222222222219</v>
      </c>
      <c r="M1112" s="2" t="s">
        <v>1059</v>
      </c>
      <c r="N1112" s="2" t="s">
        <v>500</v>
      </c>
      <c r="O1112" s="2"/>
    </row>
    <row r="1113" spans="1:15" x14ac:dyDescent="0.25">
      <c r="A1113" s="2" t="s">
        <v>15</v>
      </c>
      <c r="B1113" s="2" t="str">
        <f>"FES1162768560"</f>
        <v>FES1162768560</v>
      </c>
      <c r="C1113" s="2" t="s">
        <v>802</v>
      </c>
      <c r="D1113" s="2">
        <v>1</v>
      </c>
      <c r="E1113" s="2" t="str">
        <f>"2170753808"</f>
        <v>2170753808</v>
      </c>
      <c r="F1113" s="2" t="s">
        <v>17</v>
      </c>
      <c r="G1113" s="2" t="s">
        <v>18</v>
      </c>
      <c r="H1113" s="2" t="s">
        <v>25</v>
      </c>
      <c r="I1113" s="2" t="s">
        <v>26</v>
      </c>
      <c r="J1113" s="2" t="s">
        <v>474</v>
      </c>
      <c r="K1113" s="2" t="s">
        <v>1008</v>
      </c>
      <c r="L1113" s="3">
        <v>0.41666666666666669</v>
      </c>
      <c r="M1113" s="2" t="s">
        <v>1060</v>
      </c>
      <c r="N1113" s="2" t="s">
        <v>500</v>
      </c>
      <c r="O1113" s="2"/>
    </row>
    <row r="1114" spans="1:15" x14ac:dyDescent="0.25">
      <c r="A1114" s="2" t="s">
        <v>15</v>
      </c>
      <c r="B1114" s="2" t="str">
        <f>"FES1162768630"</f>
        <v>FES1162768630</v>
      </c>
      <c r="C1114" s="2" t="s">
        <v>802</v>
      </c>
      <c r="D1114" s="2">
        <v>1</v>
      </c>
      <c r="E1114" s="2" t="str">
        <f>"2170753036"</f>
        <v>2170753036</v>
      </c>
      <c r="F1114" s="2" t="s">
        <v>17</v>
      </c>
      <c r="G1114" s="2" t="s">
        <v>18</v>
      </c>
      <c r="H1114" s="2" t="s">
        <v>19</v>
      </c>
      <c r="I1114" s="2" t="s">
        <v>20</v>
      </c>
      <c r="J1114" s="2" t="s">
        <v>77</v>
      </c>
      <c r="K1114" s="2" t="s">
        <v>1008</v>
      </c>
      <c r="L1114" s="3">
        <v>0.31805555555555554</v>
      </c>
      <c r="M1114" s="2" t="s">
        <v>198</v>
      </c>
      <c r="N1114" s="2" t="s">
        <v>500</v>
      </c>
      <c r="O1114" s="2"/>
    </row>
    <row r="1115" spans="1:15" x14ac:dyDescent="0.25">
      <c r="A1115" s="2" t="s">
        <v>15</v>
      </c>
      <c r="B1115" s="2" t="str">
        <f>"FES1162768745"</f>
        <v>FES1162768745</v>
      </c>
      <c r="C1115" s="2" t="s">
        <v>802</v>
      </c>
      <c r="D1115" s="2">
        <v>1</v>
      </c>
      <c r="E1115" s="2" t="str">
        <f>"2170754575"</f>
        <v>2170754575</v>
      </c>
      <c r="F1115" s="2" t="s">
        <v>17</v>
      </c>
      <c r="G1115" s="2" t="s">
        <v>18</v>
      </c>
      <c r="H1115" s="2" t="s">
        <v>25</v>
      </c>
      <c r="I1115" s="2" t="s">
        <v>26</v>
      </c>
      <c r="J1115" s="2" t="s">
        <v>44</v>
      </c>
      <c r="K1115" s="2" t="s">
        <v>1008</v>
      </c>
      <c r="L1115" s="3">
        <v>0.40833333333333338</v>
      </c>
      <c r="M1115" s="2" t="s">
        <v>181</v>
      </c>
      <c r="N1115" s="2" t="s">
        <v>500</v>
      </c>
      <c r="O1115" s="2"/>
    </row>
    <row r="1116" spans="1:15" x14ac:dyDescent="0.25">
      <c r="A1116" s="2" t="s">
        <v>15</v>
      </c>
      <c r="B1116" s="2" t="str">
        <f>"FES1162768671"</f>
        <v>FES1162768671</v>
      </c>
      <c r="C1116" s="2" t="s">
        <v>802</v>
      </c>
      <c r="D1116" s="2">
        <v>1</v>
      </c>
      <c r="E1116" s="2" t="str">
        <f>"2170754799"</f>
        <v>2170754799</v>
      </c>
      <c r="F1116" s="2" t="s">
        <v>17</v>
      </c>
      <c r="G1116" s="2" t="s">
        <v>18</v>
      </c>
      <c r="H1116" s="2" t="s">
        <v>19</v>
      </c>
      <c r="I1116" s="2" t="s">
        <v>130</v>
      </c>
      <c r="J1116" s="2" t="s">
        <v>131</v>
      </c>
      <c r="K1116" s="2" t="s">
        <v>1008</v>
      </c>
      <c r="L1116" s="3">
        <v>0.38263888888888892</v>
      </c>
      <c r="M1116" s="2" t="s">
        <v>236</v>
      </c>
      <c r="N1116" s="2" t="s">
        <v>500</v>
      </c>
      <c r="O1116" s="2"/>
    </row>
    <row r="1117" spans="1:15" x14ac:dyDescent="0.25">
      <c r="A1117" s="2" t="s">
        <v>15</v>
      </c>
      <c r="B1117" s="2" t="str">
        <f>"FES1162768931"</f>
        <v>FES1162768931</v>
      </c>
      <c r="C1117" s="2" t="s">
        <v>802</v>
      </c>
      <c r="D1117" s="2">
        <v>1</v>
      </c>
      <c r="E1117" s="2" t="str">
        <f>"2170756512"</f>
        <v>2170756512</v>
      </c>
      <c r="F1117" s="2" t="s">
        <v>17</v>
      </c>
      <c r="G1117" s="2" t="s">
        <v>18</v>
      </c>
      <c r="H1117" s="2" t="s">
        <v>36</v>
      </c>
      <c r="I1117" s="2" t="s">
        <v>37</v>
      </c>
      <c r="J1117" s="2" t="s">
        <v>272</v>
      </c>
      <c r="K1117" s="2" t="s">
        <v>1008</v>
      </c>
      <c r="L1117" s="3">
        <v>0.33333333333333331</v>
      </c>
      <c r="M1117" s="2" t="s">
        <v>538</v>
      </c>
      <c r="N1117" s="2" t="s">
        <v>500</v>
      </c>
      <c r="O1117" s="2"/>
    </row>
    <row r="1118" spans="1:15" x14ac:dyDescent="0.25">
      <c r="A1118" s="5" t="s">
        <v>15</v>
      </c>
      <c r="B1118" s="5" t="str">
        <f>"FES1162768688"</f>
        <v>FES1162768688</v>
      </c>
      <c r="C1118" s="5" t="s">
        <v>802</v>
      </c>
      <c r="D1118" s="5">
        <v>1</v>
      </c>
      <c r="E1118" s="5" t="str">
        <f>"2170755632"</f>
        <v>2170755632</v>
      </c>
      <c r="F1118" s="5" t="s">
        <v>17</v>
      </c>
      <c r="G1118" s="5" t="s">
        <v>18</v>
      </c>
      <c r="H1118" s="5" t="s">
        <v>78</v>
      </c>
      <c r="I1118" s="5" t="s">
        <v>79</v>
      </c>
      <c r="J1118" s="5" t="s">
        <v>446</v>
      </c>
      <c r="K1118" s="5" t="s">
        <v>1008</v>
      </c>
      <c r="L1118" s="9">
        <v>0.37986111111111115</v>
      </c>
      <c r="M1118" s="5" t="s">
        <v>1829</v>
      </c>
      <c r="N1118" s="5" t="s">
        <v>500</v>
      </c>
      <c r="O1118" s="5"/>
    </row>
    <row r="1119" spans="1:15" x14ac:dyDescent="0.25">
      <c r="A1119" s="2" t="s">
        <v>15</v>
      </c>
      <c r="B1119" s="2" t="str">
        <f>"009940283526"</f>
        <v>009940283526</v>
      </c>
      <c r="C1119" s="2" t="s">
        <v>802</v>
      </c>
      <c r="D1119" s="2">
        <v>1</v>
      </c>
      <c r="E1119" s="2" t="str">
        <f>"2170755081"</f>
        <v>2170755081</v>
      </c>
      <c r="F1119" s="2" t="s">
        <v>17</v>
      </c>
      <c r="G1119" s="2" t="s">
        <v>18</v>
      </c>
      <c r="H1119" s="2" t="s">
        <v>18</v>
      </c>
      <c r="I1119" s="2" t="s">
        <v>63</v>
      </c>
      <c r="J1119" s="2" t="s">
        <v>645</v>
      </c>
      <c r="K1119" s="2" t="s">
        <v>1008</v>
      </c>
      <c r="L1119" s="3">
        <v>0.39166666666666666</v>
      </c>
      <c r="M1119" s="2" t="s">
        <v>1061</v>
      </c>
      <c r="N1119" s="2" t="s">
        <v>500</v>
      </c>
      <c r="O1119" s="2"/>
    </row>
    <row r="1120" spans="1:15" x14ac:dyDescent="0.25">
      <c r="A1120" s="2" t="s">
        <v>15</v>
      </c>
      <c r="B1120" s="2" t="str">
        <f>"FES1162768919"</f>
        <v>FES1162768919</v>
      </c>
      <c r="C1120" s="2" t="s">
        <v>802</v>
      </c>
      <c r="D1120" s="2">
        <v>1</v>
      </c>
      <c r="E1120" s="2" t="str">
        <f>"2170754056"</f>
        <v>2170754056</v>
      </c>
      <c r="F1120" s="2" t="s">
        <v>17</v>
      </c>
      <c r="G1120" s="2" t="s">
        <v>18</v>
      </c>
      <c r="H1120" s="2" t="s">
        <v>18</v>
      </c>
      <c r="I1120" s="2" t="s">
        <v>794</v>
      </c>
      <c r="J1120" s="2" t="s">
        <v>1015</v>
      </c>
      <c r="K1120" s="2" t="s">
        <v>1008</v>
      </c>
      <c r="L1120" s="3">
        <v>0.375</v>
      </c>
      <c r="M1120" s="2" t="s">
        <v>1062</v>
      </c>
      <c r="N1120" s="2" t="s">
        <v>500</v>
      </c>
      <c r="O1120" s="2"/>
    </row>
    <row r="1121" spans="1:15" x14ac:dyDescent="0.25">
      <c r="A1121" s="2" t="s">
        <v>15</v>
      </c>
      <c r="B1121" s="2" t="str">
        <f>"FES1162768859"</f>
        <v>FES1162768859</v>
      </c>
      <c r="C1121" s="2" t="s">
        <v>802</v>
      </c>
      <c r="D1121" s="2">
        <v>1</v>
      </c>
      <c r="E1121" s="2" t="str">
        <f>"2170754205"</f>
        <v>2170754205</v>
      </c>
      <c r="F1121" s="2" t="s">
        <v>17</v>
      </c>
      <c r="G1121" s="2" t="s">
        <v>18</v>
      </c>
      <c r="H1121" s="2" t="s">
        <v>88</v>
      </c>
      <c r="I1121" s="2" t="s">
        <v>109</v>
      </c>
      <c r="J1121" s="2" t="s">
        <v>395</v>
      </c>
      <c r="K1121" s="2" t="s">
        <v>1008</v>
      </c>
      <c r="L1121" s="3">
        <v>0.39583333333333331</v>
      </c>
      <c r="M1121" s="2" t="s">
        <v>1063</v>
      </c>
      <c r="N1121" s="2" t="s">
        <v>500</v>
      </c>
      <c r="O1121" s="2"/>
    </row>
    <row r="1122" spans="1:15" x14ac:dyDescent="0.25">
      <c r="A1122" s="2" t="s">
        <v>15</v>
      </c>
      <c r="B1122" s="2" t="str">
        <f>"FES1162768979"</f>
        <v>FES1162768979</v>
      </c>
      <c r="C1122" s="2" t="s">
        <v>802</v>
      </c>
      <c r="D1122" s="2">
        <v>1</v>
      </c>
      <c r="E1122" s="2" t="str">
        <f>"2170756554"</f>
        <v>2170756554</v>
      </c>
      <c r="F1122" s="2" t="s">
        <v>17</v>
      </c>
      <c r="G1122" s="2" t="s">
        <v>18</v>
      </c>
      <c r="H1122" s="2" t="s">
        <v>19</v>
      </c>
      <c r="I1122" s="2" t="s">
        <v>20</v>
      </c>
      <c r="J1122" s="2" t="s">
        <v>1016</v>
      </c>
      <c r="K1122" s="2" t="s">
        <v>1008</v>
      </c>
      <c r="L1122" s="3">
        <v>0.51458333333333328</v>
      </c>
      <c r="M1122" s="2" t="s">
        <v>844</v>
      </c>
      <c r="N1122" s="2" t="s">
        <v>500</v>
      </c>
      <c r="O1122" s="2"/>
    </row>
    <row r="1123" spans="1:15" x14ac:dyDescent="0.25">
      <c r="A1123" s="2" t="s">
        <v>15</v>
      </c>
      <c r="B1123" s="2" t="str">
        <f>"FES1162768996"</f>
        <v>FES1162768996</v>
      </c>
      <c r="C1123" s="2" t="s">
        <v>802</v>
      </c>
      <c r="D1123" s="2">
        <v>1</v>
      </c>
      <c r="E1123" s="2" t="str">
        <f>"2170756581"</f>
        <v>2170756581</v>
      </c>
      <c r="F1123" s="2" t="s">
        <v>17</v>
      </c>
      <c r="G1123" s="2" t="s">
        <v>18</v>
      </c>
      <c r="H1123" s="2" t="s">
        <v>19</v>
      </c>
      <c r="I1123" s="2" t="s">
        <v>111</v>
      </c>
      <c r="J1123" s="2" t="s">
        <v>405</v>
      </c>
      <c r="K1123" s="2" t="s">
        <v>1008</v>
      </c>
      <c r="L1123" s="3">
        <v>0.3743055555555555</v>
      </c>
      <c r="M1123" s="2" t="s">
        <v>714</v>
      </c>
      <c r="N1123" s="2" t="s">
        <v>500</v>
      </c>
      <c r="O1123" s="2"/>
    </row>
    <row r="1124" spans="1:15" x14ac:dyDescent="0.25">
      <c r="A1124" s="2" t="s">
        <v>15</v>
      </c>
      <c r="B1124" s="2" t="str">
        <f>"FES1162768956"</f>
        <v>FES1162768956</v>
      </c>
      <c r="C1124" s="2" t="s">
        <v>802</v>
      </c>
      <c r="D1124" s="2">
        <v>1</v>
      </c>
      <c r="E1124" s="2" t="str">
        <f>"2170756545"</f>
        <v>2170756545</v>
      </c>
      <c r="F1124" s="2" t="s">
        <v>17</v>
      </c>
      <c r="G1124" s="2" t="s">
        <v>18</v>
      </c>
      <c r="H1124" s="2" t="s">
        <v>36</v>
      </c>
      <c r="I1124" s="2" t="s">
        <v>37</v>
      </c>
      <c r="J1124" s="2" t="s">
        <v>104</v>
      </c>
      <c r="K1124" s="2" t="s">
        <v>1008</v>
      </c>
      <c r="L1124" s="3">
        <v>0.41666666666666669</v>
      </c>
      <c r="M1124" s="2" t="s">
        <v>221</v>
      </c>
      <c r="N1124" s="2" t="s">
        <v>500</v>
      </c>
      <c r="O1124" s="2"/>
    </row>
    <row r="1125" spans="1:15" x14ac:dyDescent="0.25">
      <c r="A1125" s="2" t="s">
        <v>15</v>
      </c>
      <c r="B1125" s="2" t="str">
        <f>"FES1162768976"</f>
        <v>FES1162768976</v>
      </c>
      <c r="C1125" s="2" t="s">
        <v>802</v>
      </c>
      <c r="D1125" s="2">
        <v>1</v>
      </c>
      <c r="E1125" s="2" t="str">
        <f>"2170756561"</f>
        <v>2170756561</v>
      </c>
      <c r="F1125" s="2" t="s">
        <v>17</v>
      </c>
      <c r="G1125" s="2" t="s">
        <v>18</v>
      </c>
      <c r="H1125" s="2" t="s">
        <v>36</v>
      </c>
      <c r="I1125" s="2" t="s">
        <v>37</v>
      </c>
      <c r="J1125" s="2" t="s">
        <v>476</v>
      </c>
      <c r="K1125" s="2" t="s">
        <v>1008</v>
      </c>
      <c r="L1125" s="3">
        <v>0.35416666666666669</v>
      </c>
      <c r="M1125" s="2" t="s">
        <v>1064</v>
      </c>
      <c r="N1125" s="2" t="s">
        <v>500</v>
      </c>
      <c r="O1125" s="2"/>
    </row>
    <row r="1126" spans="1:15" x14ac:dyDescent="0.25">
      <c r="A1126" s="2" t="s">
        <v>15</v>
      </c>
      <c r="B1126" s="2" t="str">
        <f>"FES1162768914"</f>
        <v>FES1162768914</v>
      </c>
      <c r="C1126" s="2" t="s">
        <v>802</v>
      </c>
      <c r="D1126" s="2">
        <v>1</v>
      </c>
      <c r="E1126" s="2" t="str">
        <f>"2170756491"</f>
        <v>2170756491</v>
      </c>
      <c r="F1126" s="2" t="s">
        <v>17</v>
      </c>
      <c r="G1126" s="2" t="s">
        <v>18</v>
      </c>
      <c r="H1126" s="2" t="s">
        <v>18</v>
      </c>
      <c r="I1126" s="2" t="s">
        <v>50</v>
      </c>
      <c r="J1126" s="2" t="s">
        <v>1017</v>
      </c>
      <c r="K1126" s="2" t="s">
        <v>1008</v>
      </c>
      <c r="L1126" s="3">
        <v>0.43402777777777773</v>
      </c>
      <c r="M1126" s="2" t="s">
        <v>1065</v>
      </c>
      <c r="N1126" s="2" t="s">
        <v>500</v>
      </c>
      <c r="O1126" s="2"/>
    </row>
    <row r="1127" spans="1:15" x14ac:dyDescent="0.25">
      <c r="A1127" s="2" t="s">
        <v>15</v>
      </c>
      <c r="B1127" s="2" t="str">
        <f>"FES1162768627"</f>
        <v>FES1162768627</v>
      </c>
      <c r="C1127" s="2" t="s">
        <v>802</v>
      </c>
      <c r="D1127" s="2">
        <v>1</v>
      </c>
      <c r="E1127" s="2" t="str">
        <f>"2170752792"</f>
        <v>2170752792</v>
      </c>
      <c r="F1127" s="2" t="s">
        <v>17</v>
      </c>
      <c r="G1127" s="2" t="s">
        <v>18</v>
      </c>
      <c r="H1127" s="2" t="s">
        <v>206</v>
      </c>
      <c r="I1127" s="2" t="s">
        <v>63</v>
      </c>
      <c r="J1127" s="2" t="s">
        <v>93</v>
      </c>
      <c r="K1127" s="2" t="s">
        <v>1008</v>
      </c>
      <c r="L1127" s="3">
        <v>0.36458333333333331</v>
      </c>
      <c r="M1127" s="2" t="s">
        <v>736</v>
      </c>
      <c r="N1127" s="2" t="s">
        <v>500</v>
      </c>
      <c r="O1127" s="2"/>
    </row>
    <row r="1128" spans="1:15" x14ac:dyDescent="0.25">
      <c r="A1128" s="2" t="s">
        <v>15</v>
      </c>
      <c r="B1128" s="2" t="str">
        <f>"FES1162768483"</f>
        <v>FES1162768483</v>
      </c>
      <c r="C1128" s="2" t="s">
        <v>802</v>
      </c>
      <c r="D1128" s="2">
        <v>1</v>
      </c>
      <c r="E1128" s="2" t="str">
        <f>"2170753214"</f>
        <v>2170753214</v>
      </c>
      <c r="F1128" s="2" t="s">
        <v>17</v>
      </c>
      <c r="G1128" s="2" t="s">
        <v>18</v>
      </c>
      <c r="H1128" s="2" t="s">
        <v>36</v>
      </c>
      <c r="I1128" s="2" t="s">
        <v>37</v>
      </c>
      <c r="J1128" s="2" t="s">
        <v>162</v>
      </c>
      <c r="K1128" s="2" t="s">
        <v>1008</v>
      </c>
      <c r="L1128" s="3">
        <v>0.35416666666666669</v>
      </c>
      <c r="M1128" s="2" t="s">
        <v>268</v>
      </c>
      <c r="N1128" s="2" t="s">
        <v>500</v>
      </c>
      <c r="O1128" s="2"/>
    </row>
    <row r="1129" spans="1:15" x14ac:dyDescent="0.25">
      <c r="A1129" s="2" t="s">
        <v>15</v>
      </c>
      <c r="B1129" s="2" t="str">
        <f>"FES1162768482"</f>
        <v>FES1162768482</v>
      </c>
      <c r="C1129" s="2" t="s">
        <v>802</v>
      </c>
      <c r="D1129" s="2">
        <v>1</v>
      </c>
      <c r="E1129" s="2" t="str">
        <f>"2170753195"</f>
        <v>2170753195</v>
      </c>
      <c r="F1129" s="2" t="s">
        <v>17</v>
      </c>
      <c r="G1129" s="2" t="s">
        <v>18</v>
      </c>
      <c r="H1129" s="2" t="s">
        <v>36</v>
      </c>
      <c r="I1129" s="2" t="s">
        <v>37</v>
      </c>
      <c r="J1129" s="2" t="s">
        <v>162</v>
      </c>
      <c r="K1129" s="2" t="s">
        <v>1008</v>
      </c>
      <c r="L1129" s="3">
        <v>0.33333333333333331</v>
      </c>
      <c r="M1129" s="2" t="s">
        <v>1066</v>
      </c>
      <c r="N1129" s="2" t="s">
        <v>500</v>
      </c>
      <c r="O1129" s="2"/>
    </row>
    <row r="1130" spans="1:15" x14ac:dyDescent="0.25">
      <c r="A1130" s="2" t="s">
        <v>15</v>
      </c>
      <c r="B1130" s="2" t="str">
        <f>"FES1162768743"</f>
        <v>FES1162768743</v>
      </c>
      <c r="C1130" s="2" t="s">
        <v>802</v>
      </c>
      <c r="D1130" s="2">
        <v>1</v>
      </c>
      <c r="E1130" s="2" t="str">
        <f>"2170754465"</f>
        <v>2170754465</v>
      </c>
      <c r="F1130" s="2" t="s">
        <v>17</v>
      </c>
      <c r="G1130" s="2" t="s">
        <v>18</v>
      </c>
      <c r="H1130" s="2" t="s">
        <v>19</v>
      </c>
      <c r="I1130" s="2" t="s">
        <v>73</v>
      </c>
      <c r="J1130" s="2" t="s">
        <v>76</v>
      </c>
      <c r="K1130" s="2" t="s">
        <v>1008</v>
      </c>
      <c r="L1130" s="3">
        <v>0.35486111111111113</v>
      </c>
      <c r="M1130" s="2" t="s">
        <v>1067</v>
      </c>
      <c r="N1130" s="2" t="s">
        <v>500</v>
      </c>
      <c r="O1130" s="2"/>
    </row>
    <row r="1131" spans="1:15" x14ac:dyDescent="0.25">
      <c r="A1131" s="2" t="s">
        <v>15</v>
      </c>
      <c r="B1131" s="2" t="str">
        <f>"FES1162768822"</f>
        <v>FES1162768822</v>
      </c>
      <c r="C1131" s="2" t="s">
        <v>802</v>
      </c>
      <c r="D1131" s="2">
        <v>1</v>
      </c>
      <c r="E1131" s="2" t="str">
        <f>"2170749846"</f>
        <v>2170749846</v>
      </c>
      <c r="F1131" s="2" t="s">
        <v>17</v>
      </c>
      <c r="G1131" s="2" t="s">
        <v>18</v>
      </c>
      <c r="H1131" s="2" t="s">
        <v>19</v>
      </c>
      <c r="I1131" s="2" t="s">
        <v>20</v>
      </c>
      <c r="J1131" s="2" t="s">
        <v>1018</v>
      </c>
      <c r="K1131" s="2" t="s">
        <v>1008</v>
      </c>
      <c r="L1131" s="3">
        <v>0.38055555555555554</v>
      </c>
      <c r="M1131" s="2" t="s">
        <v>1068</v>
      </c>
      <c r="N1131" s="2" t="s">
        <v>500</v>
      </c>
      <c r="O1131" s="2"/>
    </row>
    <row r="1132" spans="1:15" x14ac:dyDescent="0.25">
      <c r="A1132" s="2" t="s">
        <v>15</v>
      </c>
      <c r="B1132" s="2" t="str">
        <f>"FES1162768854"</f>
        <v>FES1162768854</v>
      </c>
      <c r="C1132" s="2" t="s">
        <v>802</v>
      </c>
      <c r="D1132" s="2">
        <v>1</v>
      </c>
      <c r="E1132" s="2" t="str">
        <f>"2170754189"</f>
        <v>2170754189</v>
      </c>
      <c r="F1132" s="2" t="s">
        <v>17</v>
      </c>
      <c r="G1132" s="2" t="s">
        <v>18</v>
      </c>
      <c r="H1132" s="2" t="s">
        <v>88</v>
      </c>
      <c r="I1132" s="2" t="s">
        <v>109</v>
      </c>
      <c r="J1132" s="2" t="s">
        <v>1019</v>
      </c>
      <c r="K1132" s="2" t="s">
        <v>1008</v>
      </c>
      <c r="L1132" s="3">
        <v>0.67361111111111116</v>
      </c>
      <c r="M1132" s="2" t="s">
        <v>1069</v>
      </c>
      <c r="N1132" s="2" t="s">
        <v>500</v>
      </c>
      <c r="O1132" s="2"/>
    </row>
    <row r="1133" spans="1:15" x14ac:dyDescent="0.25">
      <c r="A1133" s="2" t="s">
        <v>15</v>
      </c>
      <c r="B1133" s="2" t="str">
        <f>"FES1162768824"</f>
        <v>FES1162768824</v>
      </c>
      <c r="C1133" s="2" t="s">
        <v>802</v>
      </c>
      <c r="D1133" s="2">
        <v>1</v>
      </c>
      <c r="E1133" s="2" t="str">
        <f>"2170752847"</f>
        <v>2170752847</v>
      </c>
      <c r="F1133" s="2" t="s">
        <v>17</v>
      </c>
      <c r="G1133" s="2" t="s">
        <v>18</v>
      </c>
      <c r="H1133" s="2" t="s">
        <v>18</v>
      </c>
      <c r="I1133" s="2" t="s">
        <v>116</v>
      </c>
      <c r="J1133" s="2" t="s">
        <v>117</v>
      </c>
      <c r="K1133" s="2" t="s">
        <v>1008</v>
      </c>
      <c r="L1133" s="3">
        <v>0.43541666666666662</v>
      </c>
      <c r="M1133" s="2" t="s">
        <v>228</v>
      </c>
      <c r="N1133" s="2" t="s">
        <v>500</v>
      </c>
      <c r="O1133" s="2"/>
    </row>
    <row r="1134" spans="1:15" x14ac:dyDescent="0.25">
      <c r="A1134" s="2" t="s">
        <v>15</v>
      </c>
      <c r="B1134" s="2" t="str">
        <f>"FES1162768869"</f>
        <v>FES1162768869</v>
      </c>
      <c r="C1134" s="2" t="s">
        <v>802</v>
      </c>
      <c r="D1134" s="2">
        <v>1</v>
      </c>
      <c r="E1134" s="2" t="str">
        <f>"2170754271"</f>
        <v>2170754271</v>
      </c>
      <c r="F1134" s="2" t="s">
        <v>17</v>
      </c>
      <c r="G1134" s="2" t="s">
        <v>18</v>
      </c>
      <c r="H1134" s="2" t="s">
        <v>18</v>
      </c>
      <c r="I1134" s="2" t="s">
        <v>57</v>
      </c>
      <c r="J1134" s="2" t="s">
        <v>906</v>
      </c>
      <c r="K1134" s="2" t="s">
        <v>1008</v>
      </c>
      <c r="L1134" s="3">
        <v>0.27916666666666667</v>
      </c>
      <c r="M1134" s="2" t="s">
        <v>1070</v>
      </c>
      <c r="N1134" s="2" t="s">
        <v>500</v>
      </c>
      <c r="O1134" s="2"/>
    </row>
    <row r="1135" spans="1:15" x14ac:dyDescent="0.25">
      <c r="A1135" s="2" t="s">
        <v>15</v>
      </c>
      <c r="B1135" s="2" t="str">
        <f>"FES1162768922"</f>
        <v>FES1162768922</v>
      </c>
      <c r="C1135" s="2" t="s">
        <v>802</v>
      </c>
      <c r="D1135" s="2">
        <v>1</v>
      </c>
      <c r="E1135" s="2" t="str">
        <f>"2170756501"</f>
        <v>2170756501</v>
      </c>
      <c r="F1135" s="2" t="s">
        <v>17</v>
      </c>
      <c r="G1135" s="2" t="s">
        <v>18</v>
      </c>
      <c r="H1135" s="2" t="s">
        <v>25</v>
      </c>
      <c r="I1135" s="2" t="s">
        <v>26</v>
      </c>
      <c r="J1135" s="2" t="s">
        <v>1020</v>
      </c>
      <c r="K1135" s="2" t="s">
        <v>1008</v>
      </c>
      <c r="L1135" s="3">
        <v>0.4597222222222222</v>
      </c>
      <c r="M1135" s="2" t="s">
        <v>1071</v>
      </c>
      <c r="N1135" s="2" t="s">
        <v>500</v>
      </c>
      <c r="O1135" s="2"/>
    </row>
    <row r="1136" spans="1:15" x14ac:dyDescent="0.25">
      <c r="A1136" s="2" t="s">
        <v>15</v>
      </c>
      <c r="B1136" s="2" t="str">
        <f>"FES1162768733"</f>
        <v>FES1162768733</v>
      </c>
      <c r="C1136" s="2" t="s">
        <v>802</v>
      </c>
      <c r="D1136" s="2">
        <v>1</v>
      </c>
      <c r="E1136" s="2" t="str">
        <f>"2170753845"</f>
        <v>2170753845</v>
      </c>
      <c r="F1136" s="2" t="s">
        <v>17</v>
      </c>
      <c r="G1136" s="2" t="s">
        <v>18</v>
      </c>
      <c r="H1136" s="2" t="s">
        <v>18</v>
      </c>
      <c r="I1136" s="2" t="s">
        <v>57</v>
      </c>
      <c r="J1136" s="2" t="s">
        <v>903</v>
      </c>
      <c r="K1136" s="2" t="s">
        <v>1008</v>
      </c>
      <c r="L1136" s="3">
        <v>0.32222222222222224</v>
      </c>
      <c r="M1136" s="2" t="s">
        <v>1072</v>
      </c>
      <c r="N1136" s="2" t="s">
        <v>500</v>
      </c>
      <c r="O1136" s="2"/>
    </row>
    <row r="1137" spans="1:15" x14ac:dyDescent="0.25">
      <c r="A1137" s="2" t="s">
        <v>15</v>
      </c>
      <c r="B1137" s="2" t="str">
        <f>"FES1162768948"</f>
        <v>FES1162768948</v>
      </c>
      <c r="C1137" s="2" t="s">
        <v>802</v>
      </c>
      <c r="D1137" s="2">
        <v>1</v>
      </c>
      <c r="E1137" s="2" t="str">
        <f>"2170756536"</f>
        <v>2170756536</v>
      </c>
      <c r="F1137" s="2" t="s">
        <v>17</v>
      </c>
      <c r="G1137" s="2" t="s">
        <v>18</v>
      </c>
      <c r="H1137" s="2" t="s">
        <v>657</v>
      </c>
      <c r="I1137" s="2" t="s">
        <v>658</v>
      </c>
      <c r="J1137" s="2" t="s">
        <v>659</v>
      </c>
      <c r="K1137" s="2" t="s">
        <v>1084</v>
      </c>
      <c r="L1137" s="3">
        <v>0.4375</v>
      </c>
      <c r="M1137" s="2" t="s">
        <v>1151</v>
      </c>
      <c r="N1137" s="2" t="s">
        <v>500</v>
      </c>
      <c r="O1137" s="2"/>
    </row>
    <row r="1138" spans="1:15" x14ac:dyDescent="0.25">
      <c r="A1138" s="2" t="s">
        <v>15</v>
      </c>
      <c r="B1138" s="2" t="str">
        <f>"FES1162768981"</f>
        <v>FES1162768981</v>
      </c>
      <c r="C1138" s="2" t="s">
        <v>802</v>
      </c>
      <c r="D1138" s="2">
        <v>1</v>
      </c>
      <c r="E1138" s="2" t="str">
        <f>"2170756565"</f>
        <v>2170756565</v>
      </c>
      <c r="F1138" s="2" t="s">
        <v>17</v>
      </c>
      <c r="G1138" s="2" t="s">
        <v>18</v>
      </c>
      <c r="H1138" s="2" t="s">
        <v>18</v>
      </c>
      <c r="I1138" s="2" t="s">
        <v>65</v>
      </c>
      <c r="J1138" s="2" t="s">
        <v>66</v>
      </c>
      <c r="K1138" s="2" t="s">
        <v>1008</v>
      </c>
      <c r="L1138" s="3">
        <v>0.30069444444444443</v>
      </c>
      <c r="M1138" s="2" t="s">
        <v>1073</v>
      </c>
      <c r="N1138" s="2" t="s">
        <v>500</v>
      </c>
      <c r="O1138" s="2"/>
    </row>
    <row r="1139" spans="1:15" x14ac:dyDescent="0.25">
      <c r="A1139" s="2" t="s">
        <v>15</v>
      </c>
      <c r="B1139" s="2" t="str">
        <f>"FES1162768823"</f>
        <v>FES1162768823</v>
      </c>
      <c r="C1139" s="2" t="s">
        <v>802</v>
      </c>
      <c r="D1139" s="2">
        <v>1</v>
      </c>
      <c r="E1139" s="2" t="str">
        <f>"2170752629"</f>
        <v>2170752629</v>
      </c>
      <c r="F1139" s="2" t="s">
        <v>17</v>
      </c>
      <c r="G1139" s="2" t="s">
        <v>18</v>
      </c>
      <c r="H1139" s="2" t="s">
        <v>88</v>
      </c>
      <c r="I1139" s="2" t="s">
        <v>109</v>
      </c>
      <c r="J1139" s="2" t="s">
        <v>1021</v>
      </c>
      <c r="K1139" s="2" t="s">
        <v>1008</v>
      </c>
      <c r="L1139" s="3">
        <v>0.39930555555555558</v>
      </c>
      <c r="M1139" s="2" t="s">
        <v>1074</v>
      </c>
      <c r="N1139" s="2" t="s">
        <v>500</v>
      </c>
      <c r="O1139" s="2"/>
    </row>
    <row r="1140" spans="1:15" x14ac:dyDescent="0.25">
      <c r="A1140" s="2" t="s">
        <v>15</v>
      </c>
      <c r="B1140" s="2" t="str">
        <f>"FES1162768881"</f>
        <v>FES1162768881</v>
      </c>
      <c r="C1140" s="2" t="s">
        <v>802</v>
      </c>
      <c r="D1140" s="2">
        <v>1</v>
      </c>
      <c r="E1140" s="2" t="str">
        <f>"2170754593"</f>
        <v>2170754593</v>
      </c>
      <c r="F1140" s="2" t="s">
        <v>17</v>
      </c>
      <c r="G1140" s="2" t="s">
        <v>18</v>
      </c>
      <c r="H1140" s="2" t="s">
        <v>18</v>
      </c>
      <c r="I1140" s="2" t="s">
        <v>63</v>
      </c>
      <c r="J1140" s="2" t="s">
        <v>93</v>
      </c>
      <c r="K1140" s="2" t="s">
        <v>1008</v>
      </c>
      <c r="L1140" s="3">
        <v>0.36249999999999999</v>
      </c>
      <c r="M1140" s="2" t="s">
        <v>736</v>
      </c>
      <c r="N1140" s="2" t="s">
        <v>500</v>
      </c>
      <c r="O1140" s="2"/>
    </row>
    <row r="1141" spans="1:15" x14ac:dyDescent="0.25">
      <c r="A1141" s="2" t="s">
        <v>15</v>
      </c>
      <c r="B1141" s="2" t="str">
        <f>"FES1162768961"</f>
        <v>FES1162768961</v>
      </c>
      <c r="C1141" s="2" t="s">
        <v>802</v>
      </c>
      <c r="D1141" s="2">
        <v>1</v>
      </c>
      <c r="E1141" s="2" t="str">
        <f>"2170756550"</f>
        <v>2170756550</v>
      </c>
      <c r="F1141" s="2" t="s">
        <v>17</v>
      </c>
      <c r="G1141" s="2" t="s">
        <v>18</v>
      </c>
      <c r="H1141" s="2" t="s">
        <v>33</v>
      </c>
      <c r="I1141" s="2" t="s">
        <v>34</v>
      </c>
      <c r="J1141" s="2" t="s">
        <v>152</v>
      </c>
      <c r="K1141" s="2" t="s">
        <v>1008</v>
      </c>
      <c r="L1141" s="3">
        <v>0.43333333333333335</v>
      </c>
      <c r="M1141" s="2" t="s">
        <v>1075</v>
      </c>
      <c r="N1141" s="2" t="s">
        <v>500</v>
      </c>
      <c r="O1141" s="2"/>
    </row>
    <row r="1142" spans="1:15" x14ac:dyDescent="0.25">
      <c r="A1142" s="2" t="s">
        <v>15</v>
      </c>
      <c r="B1142" s="2" t="str">
        <f>"FES1162768741"</f>
        <v>FES1162768741</v>
      </c>
      <c r="C1142" s="2" t="s">
        <v>802</v>
      </c>
      <c r="D1142" s="2">
        <v>1</v>
      </c>
      <c r="E1142" s="2" t="str">
        <f>"2170754366"</f>
        <v>2170754366</v>
      </c>
      <c r="F1142" s="2" t="s">
        <v>17</v>
      </c>
      <c r="G1142" s="2" t="s">
        <v>18</v>
      </c>
      <c r="H1142" s="2" t="s">
        <v>25</v>
      </c>
      <c r="I1142" s="2" t="s">
        <v>26</v>
      </c>
      <c r="J1142" s="2" t="s">
        <v>27</v>
      </c>
      <c r="K1142" s="2" t="s">
        <v>1008</v>
      </c>
      <c r="L1142" s="3">
        <v>0.36319444444444443</v>
      </c>
      <c r="M1142" s="2" t="s">
        <v>171</v>
      </c>
      <c r="N1142" s="2" t="s">
        <v>500</v>
      </c>
      <c r="O1142" s="2"/>
    </row>
    <row r="1143" spans="1:15" x14ac:dyDescent="0.25">
      <c r="A1143" s="2" t="s">
        <v>15</v>
      </c>
      <c r="B1143" s="2" t="str">
        <f>"FES1162768507"</f>
        <v>FES1162768507</v>
      </c>
      <c r="C1143" s="2" t="s">
        <v>802</v>
      </c>
      <c r="D1143" s="2">
        <v>1</v>
      </c>
      <c r="E1143" s="2" t="str">
        <f>"2170756061"</f>
        <v>2170756061</v>
      </c>
      <c r="F1143" s="2" t="s">
        <v>17</v>
      </c>
      <c r="G1143" s="2" t="s">
        <v>18</v>
      </c>
      <c r="H1143" s="2" t="s">
        <v>25</v>
      </c>
      <c r="I1143" s="2" t="s">
        <v>26</v>
      </c>
      <c r="J1143" s="2" t="s">
        <v>27</v>
      </c>
      <c r="K1143" s="2" t="s">
        <v>1008</v>
      </c>
      <c r="L1143" s="3">
        <v>0.36180555555555555</v>
      </c>
      <c r="M1143" s="2" t="s">
        <v>171</v>
      </c>
      <c r="N1143" s="2" t="s">
        <v>500</v>
      </c>
      <c r="O1143" s="2"/>
    </row>
    <row r="1144" spans="1:15" x14ac:dyDescent="0.25">
      <c r="A1144" s="2" t="s">
        <v>15</v>
      </c>
      <c r="B1144" s="2" t="str">
        <f>"FES1162768918"</f>
        <v>FES1162768918</v>
      </c>
      <c r="C1144" s="2" t="s">
        <v>802</v>
      </c>
      <c r="D1144" s="2">
        <v>1</v>
      </c>
      <c r="E1144" s="2" t="str">
        <f>"2170754053"</f>
        <v>2170754053</v>
      </c>
      <c r="F1144" s="2" t="s">
        <v>17</v>
      </c>
      <c r="G1144" s="2" t="s">
        <v>18</v>
      </c>
      <c r="H1144" s="2" t="s">
        <v>18</v>
      </c>
      <c r="I1144" s="2" t="s">
        <v>794</v>
      </c>
      <c r="J1144" s="2" t="s">
        <v>1015</v>
      </c>
      <c r="K1144" s="2" t="s">
        <v>1008</v>
      </c>
      <c r="L1144" s="3">
        <v>0.375</v>
      </c>
      <c r="M1144" s="2" t="s">
        <v>1062</v>
      </c>
      <c r="N1144" s="2" t="s">
        <v>500</v>
      </c>
      <c r="O1144" s="2"/>
    </row>
    <row r="1145" spans="1:15" x14ac:dyDescent="0.25">
      <c r="A1145" s="2" t="s">
        <v>15</v>
      </c>
      <c r="B1145" s="2" t="str">
        <f>"FES1162768917"</f>
        <v>FES1162768917</v>
      </c>
      <c r="C1145" s="2" t="s">
        <v>802</v>
      </c>
      <c r="D1145" s="2">
        <v>1</v>
      </c>
      <c r="E1145" s="2" t="str">
        <f>"2170754052"</f>
        <v>2170754052</v>
      </c>
      <c r="F1145" s="2" t="s">
        <v>17</v>
      </c>
      <c r="G1145" s="2" t="s">
        <v>18</v>
      </c>
      <c r="H1145" s="2" t="s">
        <v>18</v>
      </c>
      <c r="I1145" s="2" t="s">
        <v>794</v>
      </c>
      <c r="J1145" s="2" t="s">
        <v>1015</v>
      </c>
      <c r="K1145" s="2" t="s">
        <v>1008</v>
      </c>
      <c r="L1145" s="3">
        <v>0.375</v>
      </c>
      <c r="M1145" s="2" t="s">
        <v>1062</v>
      </c>
      <c r="N1145" s="2" t="s">
        <v>500</v>
      </c>
      <c r="O1145" s="2"/>
    </row>
    <row r="1146" spans="1:15" x14ac:dyDescent="0.25">
      <c r="A1146" s="2" t="s">
        <v>15</v>
      </c>
      <c r="B1146" s="2" t="str">
        <f>"FES1162768916"</f>
        <v>FES1162768916</v>
      </c>
      <c r="C1146" s="2" t="s">
        <v>802</v>
      </c>
      <c r="D1146" s="2">
        <v>1</v>
      </c>
      <c r="E1146" s="2" t="str">
        <f>"2170754048"</f>
        <v>2170754048</v>
      </c>
      <c r="F1146" s="2" t="s">
        <v>17</v>
      </c>
      <c r="G1146" s="2" t="s">
        <v>18</v>
      </c>
      <c r="H1146" s="2" t="s">
        <v>18</v>
      </c>
      <c r="I1146" s="2" t="s">
        <v>794</v>
      </c>
      <c r="J1146" s="2" t="s">
        <v>1015</v>
      </c>
      <c r="K1146" s="2" t="s">
        <v>1008</v>
      </c>
      <c r="L1146" s="3">
        <v>0.375</v>
      </c>
      <c r="M1146" s="2" t="s">
        <v>1076</v>
      </c>
      <c r="N1146" s="2" t="s">
        <v>500</v>
      </c>
      <c r="O1146" s="2"/>
    </row>
    <row r="1147" spans="1:15" x14ac:dyDescent="0.25">
      <c r="A1147" s="2" t="s">
        <v>15</v>
      </c>
      <c r="B1147" s="2" t="str">
        <f>"FES1162768543"</f>
        <v>FES1162768543</v>
      </c>
      <c r="C1147" s="2" t="s">
        <v>802</v>
      </c>
      <c r="D1147" s="2">
        <v>1</v>
      </c>
      <c r="E1147" s="2" t="str">
        <f>"2170756366"</f>
        <v>2170756366</v>
      </c>
      <c r="F1147" s="2" t="s">
        <v>1022</v>
      </c>
      <c r="G1147" s="2" t="s">
        <v>18</v>
      </c>
      <c r="H1147" s="2" t="s">
        <v>19</v>
      </c>
      <c r="I1147" s="2" t="s">
        <v>111</v>
      </c>
      <c r="J1147" s="2" t="s">
        <v>1023</v>
      </c>
      <c r="K1147" s="2" t="s">
        <v>1054</v>
      </c>
      <c r="L1147" s="3">
        <v>0.46527777777777773</v>
      </c>
      <c r="M1147" s="2" t="s">
        <v>1077</v>
      </c>
      <c r="N1147" s="2" t="s">
        <v>500</v>
      </c>
      <c r="O1147" s="2"/>
    </row>
    <row r="1148" spans="1:15" x14ac:dyDescent="0.25">
      <c r="A1148" s="5" t="s">
        <v>15</v>
      </c>
      <c r="B1148" s="5" t="str">
        <f>"FES1162768691"</f>
        <v>FES1162768691</v>
      </c>
      <c r="C1148" s="5" t="s">
        <v>802</v>
      </c>
      <c r="D1148" s="5">
        <v>1</v>
      </c>
      <c r="E1148" s="5" t="str">
        <f>"2170755882"</f>
        <v>2170755882</v>
      </c>
      <c r="F1148" s="5" t="s">
        <v>17</v>
      </c>
      <c r="G1148" s="5" t="s">
        <v>18</v>
      </c>
      <c r="H1148" s="5" t="s">
        <v>78</v>
      </c>
      <c r="I1148" s="5" t="s">
        <v>79</v>
      </c>
      <c r="J1148" s="5" t="s">
        <v>80</v>
      </c>
      <c r="K1148" s="5" t="s">
        <v>1008</v>
      </c>
      <c r="L1148" s="9">
        <v>0.37986111111111115</v>
      </c>
      <c r="M1148" s="5" t="s">
        <v>1829</v>
      </c>
      <c r="N1148" s="5" t="s">
        <v>500</v>
      </c>
      <c r="O1148" s="5"/>
    </row>
    <row r="1149" spans="1:15" x14ac:dyDescent="0.25">
      <c r="A1149" s="2" t="s">
        <v>15</v>
      </c>
      <c r="B1149" s="2" t="str">
        <f>"FES1162768860"</f>
        <v>FES1162768860</v>
      </c>
      <c r="C1149" s="2" t="s">
        <v>802</v>
      </c>
      <c r="D1149" s="2">
        <v>1</v>
      </c>
      <c r="E1149" s="2" t="str">
        <f>"2170754208"</f>
        <v>2170754208</v>
      </c>
      <c r="F1149" s="2" t="s">
        <v>17</v>
      </c>
      <c r="G1149" s="2" t="s">
        <v>18</v>
      </c>
      <c r="H1149" s="2" t="s">
        <v>25</v>
      </c>
      <c r="I1149" s="2" t="s">
        <v>39</v>
      </c>
      <c r="J1149" s="2" t="s">
        <v>40</v>
      </c>
      <c r="K1149" s="2" t="s">
        <v>1008</v>
      </c>
      <c r="L1149" s="3">
        <v>0.53194444444444444</v>
      </c>
      <c r="M1149" s="2" t="s">
        <v>326</v>
      </c>
      <c r="N1149" s="2" t="s">
        <v>500</v>
      </c>
      <c r="O1149" s="2"/>
    </row>
    <row r="1150" spans="1:15" x14ac:dyDescent="0.25">
      <c r="A1150" s="2" t="s">
        <v>15</v>
      </c>
      <c r="B1150" s="2" t="str">
        <f>"FES1162768985"</f>
        <v>FES1162768985</v>
      </c>
      <c r="C1150" s="2" t="s">
        <v>802</v>
      </c>
      <c r="D1150" s="2">
        <v>1</v>
      </c>
      <c r="E1150" s="2" t="str">
        <f>"2170756574"</f>
        <v>2170756574</v>
      </c>
      <c r="F1150" s="2" t="s">
        <v>17</v>
      </c>
      <c r="G1150" s="2" t="s">
        <v>18</v>
      </c>
      <c r="H1150" s="2" t="s">
        <v>78</v>
      </c>
      <c r="I1150" s="2" t="s">
        <v>79</v>
      </c>
      <c r="J1150" s="2" t="s">
        <v>81</v>
      </c>
      <c r="K1150" s="2" t="s">
        <v>1008</v>
      </c>
      <c r="L1150" s="3">
        <v>0.33333333333333331</v>
      </c>
      <c r="M1150" s="2" t="s">
        <v>1078</v>
      </c>
      <c r="N1150" s="2" t="s">
        <v>500</v>
      </c>
      <c r="O1150" s="2"/>
    </row>
    <row r="1151" spans="1:15" x14ac:dyDescent="0.25">
      <c r="A1151" s="2" t="s">
        <v>15</v>
      </c>
      <c r="B1151" s="2" t="str">
        <f>"FES1162769002"</f>
        <v>FES1162769002</v>
      </c>
      <c r="C1151" s="2" t="s">
        <v>802</v>
      </c>
      <c r="D1151" s="2">
        <v>1</v>
      </c>
      <c r="E1151" s="2" t="str">
        <f>"2170756584"</f>
        <v>2170756584</v>
      </c>
      <c r="F1151" s="2" t="s">
        <v>17</v>
      </c>
      <c r="G1151" s="2" t="s">
        <v>18</v>
      </c>
      <c r="H1151" s="2" t="s">
        <v>19</v>
      </c>
      <c r="I1151" s="2" t="s">
        <v>111</v>
      </c>
      <c r="J1151" s="2" t="s">
        <v>405</v>
      </c>
      <c r="K1151" s="2" t="s">
        <v>1008</v>
      </c>
      <c r="L1151" s="3">
        <v>0.37361111111111112</v>
      </c>
      <c r="M1151" s="2" t="s">
        <v>714</v>
      </c>
      <c r="N1151" s="2" t="s">
        <v>500</v>
      </c>
      <c r="O1151" s="2"/>
    </row>
    <row r="1152" spans="1:15" x14ac:dyDescent="0.25">
      <c r="A1152" s="2" t="s">
        <v>15</v>
      </c>
      <c r="B1152" s="2" t="str">
        <f>"FES1162768655"</f>
        <v>FES1162768655</v>
      </c>
      <c r="C1152" s="2" t="s">
        <v>802</v>
      </c>
      <c r="D1152" s="2">
        <v>1</v>
      </c>
      <c r="E1152" s="2" t="str">
        <f>"2170753621"</f>
        <v>2170753621</v>
      </c>
      <c r="F1152" s="2" t="s">
        <v>17</v>
      </c>
      <c r="G1152" s="2" t="s">
        <v>18</v>
      </c>
      <c r="H1152" s="2" t="s">
        <v>18</v>
      </c>
      <c r="I1152" s="2" t="s">
        <v>63</v>
      </c>
      <c r="J1152" s="2" t="s">
        <v>93</v>
      </c>
      <c r="K1152" s="2" t="s">
        <v>1008</v>
      </c>
      <c r="L1152" s="3">
        <v>0.36458333333333331</v>
      </c>
      <c r="M1152" s="2" t="s">
        <v>736</v>
      </c>
      <c r="N1152" s="2" t="s">
        <v>500</v>
      </c>
      <c r="O1152" s="2"/>
    </row>
    <row r="1153" spans="1:15" x14ac:dyDescent="0.25">
      <c r="A1153" s="2" t="s">
        <v>15</v>
      </c>
      <c r="B1153" s="2" t="str">
        <f>"FES1162768564"</f>
        <v>FES1162768564</v>
      </c>
      <c r="C1153" s="2" t="s">
        <v>802</v>
      </c>
      <c r="D1153" s="2">
        <v>1</v>
      </c>
      <c r="E1153" s="2" t="str">
        <f>"2170753868"</f>
        <v>2170753868</v>
      </c>
      <c r="F1153" s="2" t="s">
        <v>17</v>
      </c>
      <c r="G1153" s="2" t="s">
        <v>18</v>
      </c>
      <c r="H1153" s="2" t="s">
        <v>19</v>
      </c>
      <c r="I1153" s="2" t="s">
        <v>73</v>
      </c>
      <c r="J1153" s="2" t="s">
        <v>76</v>
      </c>
      <c r="K1153" s="2" t="s">
        <v>1008</v>
      </c>
      <c r="L1153" s="3">
        <v>0.35486111111111113</v>
      </c>
      <c r="M1153" s="2" t="s">
        <v>1067</v>
      </c>
      <c r="N1153" s="2" t="s">
        <v>500</v>
      </c>
      <c r="O1153" s="2"/>
    </row>
    <row r="1154" spans="1:15" x14ac:dyDescent="0.25">
      <c r="A1154" s="2" t="s">
        <v>15</v>
      </c>
      <c r="B1154" s="2" t="str">
        <f>"FES1162768964"</f>
        <v>FES1162768964</v>
      </c>
      <c r="C1154" s="2" t="s">
        <v>802</v>
      </c>
      <c r="D1154" s="2">
        <v>1</v>
      </c>
      <c r="E1154" s="2" t="str">
        <f>"2170756552"</f>
        <v>2170756552</v>
      </c>
      <c r="F1154" s="2" t="s">
        <v>17</v>
      </c>
      <c r="G1154" s="2" t="s">
        <v>18</v>
      </c>
      <c r="H1154" s="2" t="s">
        <v>19</v>
      </c>
      <c r="I1154" s="2" t="s">
        <v>111</v>
      </c>
      <c r="J1154" s="2" t="s">
        <v>629</v>
      </c>
      <c r="K1154" s="2" t="s">
        <v>1008</v>
      </c>
      <c r="L1154" s="3">
        <v>0.43124999999999997</v>
      </c>
      <c r="M1154" s="2" t="s">
        <v>1079</v>
      </c>
      <c r="N1154" s="2" t="s">
        <v>500</v>
      </c>
      <c r="O1154" s="2"/>
    </row>
    <row r="1155" spans="1:15" x14ac:dyDescent="0.25">
      <c r="A1155" s="2" t="s">
        <v>15</v>
      </c>
      <c r="B1155" s="2" t="str">
        <f>"FES1162768995"</f>
        <v>FES1162768995</v>
      </c>
      <c r="C1155" s="2" t="s">
        <v>802</v>
      </c>
      <c r="D1155" s="2">
        <v>1</v>
      </c>
      <c r="E1155" s="2" t="str">
        <f>"2170756579"</f>
        <v>2170756579</v>
      </c>
      <c r="F1155" s="2" t="s">
        <v>17</v>
      </c>
      <c r="G1155" s="2" t="s">
        <v>18</v>
      </c>
      <c r="H1155" s="2" t="s">
        <v>19</v>
      </c>
      <c r="I1155" s="2" t="s">
        <v>1024</v>
      </c>
      <c r="J1155" s="2" t="s">
        <v>1025</v>
      </c>
      <c r="K1155" s="2" t="s">
        <v>1008</v>
      </c>
      <c r="L1155" s="3">
        <v>0.3923611111111111</v>
      </c>
      <c r="M1155" s="2" t="s">
        <v>1080</v>
      </c>
      <c r="N1155" s="2" t="s">
        <v>500</v>
      </c>
      <c r="O1155" s="2"/>
    </row>
    <row r="1156" spans="1:15" x14ac:dyDescent="0.25">
      <c r="A1156" s="2" t="s">
        <v>15</v>
      </c>
      <c r="B1156" s="2" t="str">
        <f>"FES1162768575"</f>
        <v>FES1162768575</v>
      </c>
      <c r="C1156" s="2" t="s">
        <v>802</v>
      </c>
      <c r="D1156" s="2">
        <v>1</v>
      </c>
      <c r="E1156" s="2" t="str">
        <f>"2170753978"</f>
        <v>2170753978</v>
      </c>
      <c r="F1156" s="2" t="s">
        <v>17</v>
      </c>
      <c r="G1156" s="2" t="s">
        <v>18</v>
      </c>
      <c r="H1156" s="2" t="s">
        <v>25</v>
      </c>
      <c r="I1156" s="2" t="s">
        <v>42</v>
      </c>
      <c r="J1156" s="2" t="s">
        <v>43</v>
      </c>
      <c r="K1156" s="2" t="s">
        <v>1008</v>
      </c>
      <c r="L1156" s="3">
        <v>0.54166666666666663</v>
      </c>
      <c r="M1156" s="2" t="s">
        <v>1081</v>
      </c>
      <c r="N1156" s="2" t="s">
        <v>500</v>
      </c>
      <c r="O1156" s="2"/>
    </row>
    <row r="1157" spans="1:15" x14ac:dyDescent="0.25">
      <c r="A1157" s="2" t="s">
        <v>15</v>
      </c>
      <c r="B1157" s="2" t="str">
        <f>"FES1162768583"</f>
        <v>FES1162768583</v>
      </c>
      <c r="C1157" s="2" t="s">
        <v>802</v>
      </c>
      <c r="D1157" s="2">
        <v>1</v>
      </c>
      <c r="E1157" s="2" t="str">
        <f>"2170754046"</f>
        <v>2170754046</v>
      </c>
      <c r="F1157" s="2" t="s">
        <v>17</v>
      </c>
      <c r="G1157" s="2" t="s">
        <v>18</v>
      </c>
      <c r="H1157" s="2" t="s">
        <v>25</v>
      </c>
      <c r="I1157" s="2" t="s">
        <v>26</v>
      </c>
      <c r="J1157" s="2" t="s">
        <v>474</v>
      </c>
      <c r="K1157" s="2" t="s">
        <v>1008</v>
      </c>
      <c r="L1157" s="3">
        <v>0.41666666666666669</v>
      </c>
      <c r="M1157" s="2" t="s">
        <v>1082</v>
      </c>
      <c r="N1157" s="2" t="s">
        <v>500</v>
      </c>
      <c r="O1157" s="2"/>
    </row>
    <row r="1158" spans="1:15" x14ac:dyDescent="0.25">
      <c r="A1158" s="2" t="s">
        <v>15</v>
      </c>
      <c r="B1158" s="2" t="str">
        <f>"FES1162769008"</f>
        <v>FES1162769008</v>
      </c>
      <c r="C1158" s="2" t="s">
        <v>802</v>
      </c>
      <c r="D1158" s="2">
        <v>1</v>
      </c>
      <c r="E1158" s="2" t="str">
        <f>"2170753770"</f>
        <v>2170753770</v>
      </c>
      <c r="F1158" s="2" t="s">
        <v>17</v>
      </c>
      <c r="G1158" s="2" t="s">
        <v>18</v>
      </c>
      <c r="H1158" s="2" t="s">
        <v>25</v>
      </c>
      <c r="I1158" s="2" t="s">
        <v>39</v>
      </c>
      <c r="J1158" s="2" t="s">
        <v>161</v>
      </c>
      <c r="K1158" s="2" t="s">
        <v>1008</v>
      </c>
      <c r="L1158" s="3">
        <v>0.54166666666666663</v>
      </c>
      <c r="M1158" s="2" t="s">
        <v>977</v>
      </c>
      <c r="N1158" s="2" t="s">
        <v>500</v>
      </c>
      <c r="O1158" s="2"/>
    </row>
    <row r="1159" spans="1:15" x14ac:dyDescent="0.25">
      <c r="A1159" s="2" t="s">
        <v>15</v>
      </c>
      <c r="B1159" s="2" t="str">
        <f>"FES1162768622"</f>
        <v>FES1162768622</v>
      </c>
      <c r="C1159" s="2" t="s">
        <v>802</v>
      </c>
      <c r="D1159" s="2">
        <v>1</v>
      </c>
      <c r="E1159" s="2" t="str">
        <f>"2170749823"</f>
        <v>2170749823</v>
      </c>
      <c r="F1159" s="2" t="s">
        <v>17</v>
      </c>
      <c r="G1159" s="2" t="s">
        <v>18</v>
      </c>
      <c r="H1159" s="2" t="s">
        <v>18</v>
      </c>
      <c r="I1159" s="2" t="s">
        <v>50</v>
      </c>
      <c r="J1159" s="2" t="s">
        <v>1026</v>
      </c>
      <c r="K1159" s="2" t="s">
        <v>1008</v>
      </c>
      <c r="L1159" s="3">
        <v>0.4375</v>
      </c>
      <c r="M1159" s="2" t="s">
        <v>1083</v>
      </c>
      <c r="N1159" s="2" t="s">
        <v>500</v>
      </c>
      <c r="O1159" s="2"/>
    </row>
    <row r="1160" spans="1:15" x14ac:dyDescent="0.25">
      <c r="A1160" s="2" t="s">
        <v>15</v>
      </c>
      <c r="B1160" s="2" t="str">
        <f>"FES1162768913"</f>
        <v>FES1162768913</v>
      </c>
      <c r="C1160" s="2" t="s">
        <v>802</v>
      </c>
      <c r="D1160" s="2">
        <v>1</v>
      </c>
      <c r="E1160" s="2" t="str">
        <f>"2170756490"</f>
        <v>2170756490</v>
      </c>
      <c r="F1160" s="2" t="s">
        <v>17</v>
      </c>
      <c r="G1160" s="2" t="s">
        <v>18</v>
      </c>
      <c r="H1160" s="2" t="s">
        <v>88</v>
      </c>
      <c r="I1160" s="2" t="s">
        <v>109</v>
      </c>
      <c r="J1160" s="2" t="s">
        <v>1027</v>
      </c>
      <c r="K1160" s="2" t="s">
        <v>1084</v>
      </c>
      <c r="L1160" s="3">
        <v>0.33333333333333331</v>
      </c>
      <c r="M1160" s="2" t="s">
        <v>1152</v>
      </c>
      <c r="N1160" s="2" t="s">
        <v>500</v>
      </c>
      <c r="O1160" s="2"/>
    </row>
    <row r="1161" spans="1:15" x14ac:dyDescent="0.25">
      <c r="A1161" s="2" t="s">
        <v>15</v>
      </c>
      <c r="B1161" s="2" t="str">
        <f>"FES1162769026"</f>
        <v>FES1162769026</v>
      </c>
      <c r="C1161" s="2" t="s">
        <v>802</v>
      </c>
      <c r="D1161" s="2">
        <v>1</v>
      </c>
      <c r="E1161" s="2" t="str">
        <f>"2170755013"</f>
        <v>2170755013</v>
      </c>
      <c r="F1161" s="2" t="s">
        <v>17</v>
      </c>
      <c r="G1161" s="2" t="s">
        <v>18</v>
      </c>
      <c r="H1161" s="2" t="s">
        <v>18</v>
      </c>
      <c r="I1161" s="2" t="s">
        <v>290</v>
      </c>
      <c r="J1161" s="2" t="s">
        <v>291</v>
      </c>
      <c r="K1161" s="2" t="s">
        <v>1008</v>
      </c>
      <c r="L1161" s="3">
        <v>0.49236111111111108</v>
      </c>
      <c r="M1161" s="2" t="s">
        <v>292</v>
      </c>
      <c r="N1161" s="2" t="s">
        <v>500</v>
      </c>
      <c r="O1161" s="2"/>
    </row>
    <row r="1162" spans="1:15" x14ac:dyDescent="0.25">
      <c r="A1162" s="2" t="s">
        <v>15</v>
      </c>
      <c r="B1162" s="2" t="str">
        <f>"FES1162768866"</f>
        <v>FES1162768866</v>
      </c>
      <c r="C1162" s="2" t="s">
        <v>802</v>
      </c>
      <c r="D1162" s="2">
        <v>1</v>
      </c>
      <c r="E1162" s="2" t="str">
        <f>"21707504256"</f>
        <v>21707504256</v>
      </c>
      <c r="F1162" s="2" t="s">
        <v>17</v>
      </c>
      <c r="G1162" s="2" t="s">
        <v>18</v>
      </c>
      <c r="H1162" s="2" t="s">
        <v>25</v>
      </c>
      <c r="I1162" s="2" t="s">
        <v>42</v>
      </c>
      <c r="J1162" s="2" t="s">
        <v>43</v>
      </c>
      <c r="K1162" s="2" t="s">
        <v>1008</v>
      </c>
      <c r="L1162" s="3">
        <v>0.54166666666666663</v>
      </c>
      <c r="M1162" s="2" t="s">
        <v>1081</v>
      </c>
      <c r="N1162" s="2" t="s">
        <v>500</v>
      </c>
      <c r="O1162" s="2"/>
    </row>
    <row r="1163" spans="1:15" x14ac:dyDescent="0.25">
      <c r="A1163" s="2" t="s">
        <v>15</v>
      </c>
      <c r="B1163" s="2" t="str">
        <f>"FES1162768559"</f>
        <v>FES1162768559</v>
      </c>
      <c r="C1163" s="2" t="s">
        <v>802</v>
      </c>
      <c r="D1163" s="2">
        <v>1</v>
      </c>
      <c r="E1163" s="2" t="str">
        <f>"2170753790"</f>
        <v>2170753790</v>
      </c>
      <c r="F1163" s="2" t="s">
        <v>17</v>
      </c>
      <c r="G1163" s="2" t="s">
        <v>18</v>
      </c>
      <c r="H1163" s="2" t="s">
        <v>25</v>
      </c>
      <c r="I1163" s="2" t="s">
        <v>26</v>
      </c>
      <c r="J1163" s="2" t="s">
        <v>474</v>
      </c>
      <c r="K1163" s="2" t="s">
        <v>1008</v>
      </c>
      <c r="L1163" s="3">
        <v>0.41666666666666669</v>
      </c>
      <c r="M1163" s="2" t="s">
        <v>1082</v>
      </c>
      <c r="N1163" s="2" t="s">
        <v>500</v>
      </c>
      <c r="O1163" s="2"/>
    </row>
    <row r="1164" spans="1:15" x14ac:dyDescent="0.25">
      <c r="A1164" s="2" t="s">
        <v>15</v>
      </c>
      <c r="B1164" s="2" t="str">
        <f>"FES1162768837"</f>
        <v>FES1162768837</v>
      </c>
      <c r="C1164" s="2" t="s">
        <v>802</v>
      </c>
      <c r="D1164" s="2">
        <v>1</v>
      </c>
      <c r="E1164" s="2" t="str">
        <f>"2170754082"</f>
        <v>2170754082</v>
      </c>
      <c r="F1164" s="2" t="s">
        <v>17</v>
      </c>
      <c r="G1164" s="2" t="s">
        <v>18</v>
      </c>
      <c r="H1164" s="2" t="s">
        <v>25</v>
      </c>
      <c r="I1164" s="2" t="s">
        <v>26</v>
      </c>
      <c r="J1164" s="2" t="s">
        <v>27</v>
      </c>
      <c r="K1164" s="2" t="s">
        <v>1008</v>
      </c>
      <c r="L1164" s="3">
        <v>0.36319444444444443</v>
      </c>
      <c r="M1164" s="2" t="s">
        <v>171</v>
      </c>
      <c r="N1164" s="2" t="s">
        <v>500</v>
      </c>
      <c r="O1164" s="2"/>
    </row>
    <row r="1165" spans="1:15" x14ac:dyDescent="0.25">
      <c r="A1165" s="2" t="s">
        <v>15</v>
      </c>
      <c r="B1165" s="2" t="str">
        <f>"FES1162768852"</f>
        <v>FES1162768852</v>
      </c>
      <c r="C1165" s="2" t="s">
        <v>802</v>
      </c>
      <c r="D1165" s="2">
        <v>1</v>
      </c>
      <c r="E1165" s="2" t="str">
        <f>"217075179"</f>
        <v>217075179</v>
      </c>
      <c r="F1165" s="2" t="s">
        <v>17</v>
      </c>
      <c r="G1165" s="2" t="s">
        <v>18</v>
      </c>
      <c r="H1165" s="2" t="s">
        <v>25</v>
      </c>
      <c r="I1165" s="2" t="s">
        <v>26</v>
      </c>
      <c r="J1165" s="2" t="s">
        <v>889</v>
      </c>
      <c r="K1165" s="2" t="s">
        <v>1008</v>
      </c>
      <c r="L1165" s="3">
        <v>0.39166666666666666</v>
      </c>
      <c r="M1165" s="2" t="s">
        <v>960</v>
      </c>
      <c r="N1165" s="2" t="s">
        <v>500</v>
      </c>
      <c r="O1165" s="2"/>
    </row>
    <row r="1166" spans="1:15" x14ac:dyDescent="0.25">
      <c r="A1166" s="2" t="s">
        <v>15</v>
      </c>
      <c r="B1166" s="2" t="str">
        <f>"FES1162768921"</f>
        <v>FES1162768921</v>
      </c>
      <c r="C1166" s="2" t="s">
        <v>802</v>
      </c>
      <c r="D1166" s="2">
        <v>1</v>
      </c>
      <c r="E1166" s="2" t="str">
        <f>"2170756500"</f>
        <v>2170756500</v>
      </c>
      <c r="F1166" s="2" t="s">
        <v>17</v>
      </c>
      <c r="G1166" s="2" t="s">
        <v>18</v>
      </c>
      <c r="H1166" s="2" t="s">
        <v>25</v>
      </c>
      <c r="I1166" s="2" t="s">
        <v>125</v>
      </c>
      <c r="J1166" s="2" t="s">
        <v>126</v>
      </c>
      <c r="K1166" s="2" t="s">
        <v>1008</v>
      </c>
      <c r="L1166" s="3">
        <v>0.4375</v>
      </c>
      <c r="M1166" s="2" t="s">
        <v>235</v>
      </c>
      <c r="N1166" s="2" t="s">
        <v>500</v>
      </c>
      <c r="O1166" s="2"/>
    </row>
    <row r="1167" spans="1:15" x14ac:dyDescent="0.25">
      <c r="A1167" s="2" t="s">
        <v>15</v>
      </c>
      <c r="B1167" s="2" t="str">
        <f>"FES1162768737"</f>
        <v>FES1162768737</v>
      </c>
      <c r="C1167" s="2" t="s">
        <v>802</v>
      </c>
      <c r="D1167" s="2">
        <v>1</v>
      </c>
      <c r="E1167" s="2" t="str">
        <f>"2170753904"</f>
        <v>2170753904</v>
      </c>
      <c r="F1167" s="2" t="s">
        <v>17</v>
      </c>
      <c r="G1167" s="2" t="s">
        <v>18</v>
      </c>
      <c r="H1167" s="2" t="s">
        <v>25</v>
      </c>
      <c r="I1167" s="2" t="s">
        <v>39</v>
      </c>
      <c r="J1167" s="2" t="s">
        <v>161</v>
      </c>
      <c r="K1167" s="2" t="s">
        <v>1008</v>
      </c>
      <c r="L1167" s="3">
        <v>0.54166666666666663</v>
      </c>
      <c r="M1167" s="2" t="s">
        <v>977</v>
      </c>
      <c r="N1167" s="2" t="s">
        <v>500</v>
      </c>
      <c r="O1167" s="2"/>
    </row>
    <row r="1168" spans="1:15" x14ac:dyDescent="0.25">
      <c r="A1168" s="2" t="s">
        <v>15</v>
      </c>
      <c r="B1168" s="2" t="str">
        <f>"FES1162768874"</f>
        <v>FES1162768874</v>
      </c>
      <c r="C1168" s="2" t="s">
        <v>802</v>
      </c>
      <c r="D1168" s="2">
        <v>1</v>
      </c>
      <c r="E1168" s="2" t="str">
        <f>"2170754376"</f>
        <v>2170754376</v>
      </c>
      <c r="F1168" s="2" t="s">
        <v>17</v>
      </c>
      <c r="G1168" s="2" t="s">
        <v>18</v>
      </c>
      <c r="H1168" s="2" t="s">
        <v>25</v>
      </c>
      <c r="I1168" s="2" t="s">
        <v>26</v>
      </c>
      <c r="J1168" s="2" t="s">
        <v>27</v>
      </c>
      <c r="K1168" s="2" t="s">
        <v>1008</v>
      </c>
      <c r="L1168" s="3">
        <v>0.36249999999999999</v>
      </c>
      <c r="M1168" s="2" t="s">
        <v>171</v>
      </c>
      <c r="N1168" s="2" t="s">
        <v>500</v>
      </c>
      <c r="O1168" s="2"/>
    </row>
    <row r="1169" spans="1:15" x14ac:dyDescent="0.25">
      <c r="A1169" s="2" t="s">
        <v>15</v>
      </c>
      <c r="B1169" s="2" t="str">
        <f>"FES1162768588"</f>
        <v>FES1162768588</v>
      </c>
      <c r="C1169" s="2" t="s">
        <v>802</v>
      </c>
      <c r="D1169" s="2">
        <v>1</v>
      </c>
      <c r="E1169" s="2" t="str">
        <f>"2170754070"</f>
        <v>2170754070</v>
      </c>
      <c r="F1169" s="2" t="s">
        <v>17</v>
      </c>
      <c r="G1169" s="2" t="s">
        <v>18</v>
      </c>
      <c r="H1169" s="2" t="s">
        <v>25</v>
      </c>
      <c r="I1169" s="2" t="s">
        <v>42</v>
      </c>
      <c r="J1169" s="2" t="s">
        <v>43</v>
      </c>
      <c r="K1169" s="2" t="s">
        <v>1008</v>
      </c>
      <c r="L1169" s="3">
        <v>0.54166666666666663</v>
      </c>
      <c r="M1169" s="2" t="s">
        <v>1081</v>
      </c>
      <c r="N1169" s="2" t="s">
        <v>500</v>
      </c>
      <c r="O1169" s="2"/>
    </row>
    <row r="1170" spans="1:15" x14ac:dyDescent="0.25">
      <c r="A1170" s="2" t="s">
        <v>15</v>
      </c>
      <c r="B1170" s="2" t="str">
        <f>"FES1162768827"</f>
        <v>FES1162768827</v>
      </c>
      <c r="C1170" s="2" t="s">
        <v>802</v>
      </c>
      <c r="D1170" s="2">
        <v>1</v>
      </c>
      <c r="E1170" s="2" t="str">
        <f>"2170753005"</f>
        <v>2170753005</v>
      </c>
      <c r="F1170" s="2" t="s">
        <v>17</v>
      </c>
      <c r="G1170" s="2" t="s">
        <v>18</v>
      </c>
      <c r="H1170" s="2" t="s">
        <v>25</v>
      </c>
      <c r="I1170" s="2" t="s">
        <v>26</v>
      </c>
      <c r="J1170" s="2" t="s">
        <v>27</v>
      </c>
      <c r="K1170" s="2" t="s">
        <v>1008</v>
      </c>
      <c r="L1170" s="3">
        <v>0.36249999999999999</v>
      </c>
      <c r="M1170" s="2" t="s">
        <v>171</v>
      </c>
      <c r="N1170" s="2" t="s">
        <v>500</v>
      </c>
      <c r="O1170" s="2"/>
    </row>
    <row r="1171" spans="1:15" x14ac:dyDescent="0.25">
      <c r="A1171" s="2" t="s">
        <v>15</v>
      </c>
      <c r="B1171" s="2" t="str">
        <f>"FES1162768628"</f>
        <v>FES1162768628</v>
      </c>
      <c r="C1171" s="2" t="s">
        <v>802</v>
      </c>
      <c r="D1171" s="2">
        <v>1</v>
      </c>
      <c r="E1171" s="2" t="str">
        <f>"2170753000"</f>
        <v>2170753000</v>
      </c>
      <c r="F1171" s="2" t="s">
        <v>17</v>
      </c>
      <c r="G1171" s="2" t="s">
        <v>18</v>
      </c>
      <c r="H1171" s="2" t="s">
        <v>25</v>
      </c>
      <c r="I1171" s="2" t="s">
        <v>26</v>
      </c>
      <c r="J1171" s="2" t="s">
        <v>27</v>
      </c>
      <c r="K1171" s="2" t="s">
        <v>1008</v>
      </c>
      <c r="L1171" s="3">
        <v>0.36319444444444443</v>
      </c>
      <c r="M1171" s="2" t="s">
        <v>171</v>
      </c>
      <c r="N1171" s="2" t="s">
        <v>500</v>
      </c>
      <c r="O1171" s="2"/>
    </row>
    <row r="1172" spans="1:15" x14ac:dyDescent="0.25">
      <c r="A1172" s="2" t="s">
        <v>15</v>
      </c>
      <c r="B1172" s="2" t="str">
        <f>"FES1162769025"</f>
        <v>FES1162769025</v>
      </c>
      <c r="C1172" s="2" t="s">
        <v>802</v>
      </c>
      <c r="D1172" s="2">
        <v>1</v>
      </c>
      <c r="E1172" s="2" t="str">
        <f>"2170755012"</f>
        <v>2170755012</v>
      </c>
      <c r="F1172" s="2" t="s">
        <v>17</v>
      </c>
      <c r="G1172" s="2" t="s">
        <v>18</v>
      </c>
      <c r="H1172" s="2" t="s">
        <v>18</v>
      </c>
      <c r="I1172" s="2" t="s">
        <v>290</v>
      </c>
      <c r="J1172" s="2" t="s">
        <v>291</v>
      </c>
      <c r="K1172" s="2" t="s">
        <v>1008</v>
      </c>
      <c r="L1172" s="3">
        <v>0.49236111111111108</v>
      </c>
      <c r="M1172" s="2" t="s">
        <v>1085</v>
      </c>
      <c r="N1172" s="2" t="s">
        <v>500</v>
      </c>
      <c r="O1172" s="2"/>
    </row>
    <row r="1173" spans="1:15" x14ac:dyDescent="0.25">
      <c r="A1173" s="2" t="s">
        <v>15</v>
      </c>
      <c r="B1173" s="2" t="str">
        <f>"FES1162768965"</f>
        <v>FES1162768965</v>
      </c>
      <c r="C1173" s="2" t="s">
        <v>802</v>
      </c>
      <c r="D1173" s="2">
        <v>1</v>
      </c>
      <c r="E1173" s="2" t="str">
        <f>"2170756553"</f>
        <v>2170756553</v>
      </c>
      <c r="F1173" s="2" t="s">
        <v>17</v>
      </c>
      <c r="G1173" s="2" t="s">
        <v>18</v>
      </c>
      <c r="H1173" s="2" t="s">
        <v>18</v>
      </c>
      <c r="I1173" s="2" t="s">
        <v>329</v>
      </c>
      <c r="J1173" s="2" t="s">
        <v>1028</v>
      </c>
      <c r="K1173" s="2" t="s">
        <v>1008</v>
      </c>
      <c r="L1173" s="3">
        <v>0.43055555555555558</v>
      </c>
      <c r="M1173" s="2" t="s">
        <v>1086</v>
      </c>
      <c r="N1173" s="2" t="s">
        <v>500</v>
      </c>
      <c r="O1173" s="2"/>
    </row>
    <row r="1174" spans="1:15" x14ac:dyDescent="0.25">
      <c r="A1174" s="2" t="s">
        <v>15</v>
      </c>
      <c r="B1174" s="2" t="str">
        <f>"FES1162768998"</f>
        <v>FES1162768998</v>
      </c>
      <c r="C1174" s="2" t="s">
        <v>802</v>
      </c>
      <c r="D1174" s="2">
        <v>1</v>
      </c>
      <c r="E1174" s="2" t="str">
        <f>"2170756583"</f>
        <v>2170756583</v>
      </c>
      <c r="F1174" s="2" t="s">
        <v>17</v>
      </c>
      <c r="G1174" s="2" t="s">
        <v>18</v>
      </c>
      <c r="H1174" s="2" t="s">
        <v>18</v>
      </c>
      <c r="I1174" s="2" t="s">
        <v>63</v>
      </c>
      <c r="J1174" s="2" t="s">
        <v>93</v>
      </c>
      <c r="K1174" s="2" t="s">
        <v>1008</v>
      </c>
      <c r="L1174" s="3">
        <v>0.36388888888888887</v>
      </c>
      <c r="M1174" s="2" t="s">
        <v>736</v>
      </c>
      <c r="N1174" s="2" t="s">
        <v>500</v>
      </c>
      <c r="O1174" s="2"/>
    </row>
    <row r="1175" spans="1:15" x14ac:dyDescent="0.25">
      <c r="A1175" s="2" t="s">
        <v>15</v>
      </c>
      <c r="B1175" s="2" t="str">
        <f>"FES1162768665"</f>
        <v>FES1162768665</v>
      </c>
      <c r="C1175" s="2" t="s">
        <v>802</v>
      </c>
      <c r="D1175" s="2">
        <v>1</v>
      </c>
      <c r="E1175" s="2" t="str">
        <f>"2170754082"</f>
        <v>2170754082</v>
      </c>
      <c r="F1175" s="2" t="s">
        <v>17</v>
      </c>
      <c r="G1175" s="2" t="s">
        <v>18</v>
      </c>
      <c r="H1175" s="2" t="s">
        <v>25</v>
      </c>
      <c r="I1175" s="2" t="s">
        <v>26</v>
      </c>
      <c r="J1175" s="2" t="s">
        <v>27</v>
      </c>
      <c r="K1175" s="2" t="s">
        <v>1008</v>
      </c>
      <c r="L1175" s="3">
        <v>0.36180555555555555</v>
      </c>
      <c r="M1175" s="2" t="s">
        <v>171</v>
      </c>
      <c r="N1175" s="2" t="s">
        <v>500</v>
      </c>
      <c r="O1175" s="2"/>
    </row>
    <row r="1176" spans="1:15" x14ac:dyDescent="0.25">
      <c r="A1176" s="2" t="s">
        <v>15</v>
      </c>
      <c r="B1176" s="2" t="str">
        <f>"FES1162768989"</f>
        <v>FES1162768989</v>
      </c>
      <c r="C1176" s="2" t="s">
        <v>802</v>
      </c>
      <c r="D1176" s="2">
        <v>1</v>
      </c>
      <c r="E1176" s="2" t="str">
        <f>"2170756572"</f>
        <v>2170756572</v>
      </c>
      <c r="F1176" s="2" t="s">
        <v>17</v>
      </c>
      <c r="G1176" s="2" t="s">
        <v>18</v>
      </c>
      <c r="H1176" s="2" t="s">
        <v>18</v>
      </c>
      <c r="I1176" s="2" t="s">
        <v>82</v>
      </c>
      <c r="J1176" s="2" t="s">
        <v>83</v>
      </c>
      <c r="K1176" s="2" t="s">
        <v>1008</v>
      </c>
      <c r="L1176" s="3">
        <v>0.4375</v>
      </c>
      <c r="M1176" s="2" t="s">
        <v>1087</v>
      </c>
      <c r="N1176" s="2" t="s">
        <v>500</v>
      </c>
      <c r="O1176" s="2"/>
    </row>
    <row r="1177" spans="1:15" x14ac:dyDescent="0.25">
      <c r="A1177" s="2" t="s">
        <v>15</v>
      </c>
      <c r="B1177" s="2" t="str">
        <f>"FES1162768962"</f>
        <v>FES1162768962</v>
      </c>
      <c r="C1177" s="2" t="s">
        <v>802</v>
      </c>
      <c r="D1177" s="2">
        <v>1</v>
      </c>
      <c r="E1177" s="2" t="str">
        <f>"2170756551"</f>
        <v>2170756551</v>
      </c>
      <c r="F1177" s="2" t="s">
        <v>17</v>
      </c>
      <c r="G1177" s="2" t="s">
        <v>18</v>
      </c>
      <c r="H1177" s="2" t="s">
        <v>19</v>
      </c>
      <c r="I1177" s="2" t="s">
        <v>20</v>
      </c>
      <c r="J1177" s="2" t="s">
        <v>21</v>
      </c>
      <c r="K1177" s="2" t="s">
        <v>1008</v>
      </c>
      <c r="L1177" s="3">
        <v>0.40347222222222223</v>
      </c>
      <c r="M1177" s="2" t="s">
        <v>263</v>
      </c>
      <c r="N1177" s="2" t="s">
        <v>500</v>
      </c>
      <c r="O1177" s="2"/>
    </row>
    <row r="1178" spans="1:15" x14ac:dyDescent="0.25">
      <c r="A1178" s="2" t="s">
        <v>15</v>
      </c>
      <c r="B1178" s="2" t="str">
        <f>"FES1162768720"</f>
        <v>FES1162768720</v>
      </c>
      <c r="C1178" s="2" t="s">
        <v>802</v>
      </c>
      <c r="D1178" s="2">
        <v>1</v>
      </c>
      <c r="E1178" s="2" t="str">
        <f>"2170753681"</f>
        <v>2170753681</v>
      </c>
      <c r="F1178" s="2" t="s">
        <v>17</v>
      </c>
      <c r="G1178" s="2" t="s">
        <v>18</v>
      </c>
      <c r="H1178" s="2" t="s">
        <v>78</v>
      </c>
      <c r="I1178" s="2" t="s">
        <v>79</v>
      </c>
      <c r="J1178" s="2" t="s">
        <v>1029</v>
      </c>
      <c r="K1178" s="2" t="s">
        <v>1008</v>
      </c>
      <c r="L1178" s="3">
        <v>0.37152777777777773</v>
      </c>
      <c r="M1178" s="2" t="s">
        <v>1088</v>
      </c>
      <c r="N1178" s="2" t="s">
        <v>500</v>
      </c>
      <c r="O1178" s="2"/>
    </row>
    <row r="1179" spans="1:15" x14ac:dyDescent="0.25">
      <c r="A1179" s="2" t="s">
        <v>15</v>
      </c>
      <c r="B1179" s="2" t="str">
        <f>"FES1162768977"</f>
        <v>FES1162768977</v>
      </c>
      <c r="C1179" s="2" t="s">
        <v>802</v>
      </c>
      <c r="D1179" s="2">
        <v>1</v>
      </c>
      <c r="E1179" s="2" t="str">
        <f>"2170756164"</f>
        <v>2170756164</v>
      </c>
      <c r="F1179" s="2" t="s">
        <v>17</v>
      </c>
      <c r="G1179" s="2" t="s">
        <v>18</v>
      </c>
      <c r="H1179" s="2" t="s">
        <v>25</v>
      </c>
      <c r="I1179" s="2" t="s">
        <v>26</v>
      </c>
      <c r="J1179" s="2" t="s">
        <v>75</v>
      </c>
      <c r="K1179" s="2" t="s">
        <v>1008</v>
      </c>
      <c r="L1179" s="3">
        <v>0.33402777777777781</v>
      </c>
      <c r="M1179" s="2" t="s">
        <v>518</v>
      </c>
      <c r="N1179" s="2" t="s">
        <v>500</v>
      </c>
      <c r="O1179" s="2"/>
    </row>
    <row r="1180" spans="1:15" x14ac:dyDescent="0.25">
      <c r="A1180" s="2" t="s">
        <v>15</v>
      </c>
      <c r="B1180" s="2" t="str">
        <f>"FES1162768942"</f>
        <v>FES1162768942</v>
      </c>
      <c r="C1180" s="2" t="s">
        <v>802</v>
      </c>
      <c r="D1180" s="2">
        <v>1</v>
      </c>
      <c r="E1180" s="2" t="str">
        <f>"2170756531"</f>
        <v>2170756531</v>
      </c>
      <c r="F1180" s="2" t="s">
        <v>17</v>
      </c>
      <c r="G1180" s="2" t="s">
        <v>18</v>
      </c>
      <c r="H1180" s="2" t="s">
        <v>19</v>
      </c>
      <c r="I1180" s="2" t="s">
        <v>20</v>
      </c>
      <c r="J1180" s="2" t="s">
        <v>21</v>
      </c>
      <c r="K1180" s="2" t="s">
        <v>1008</v>
      </c>
      <c r="L1180" s="3">
        <v>0.40347222222222223</v>
      </c>
      <c r="M1180" s="2" t="s">
        <v>263</v>
      </c>
      <c r="N1180" s="2" t="s">
        <v>500</v>
      </c>
      <c r="O1180" s="2"/>
    </row>
    <row r="1181" spans="1:15" x14ac:dyDescent="0.25">
      <c r="A1181" s="2" t="s">
        <v>15</v>
      </c>
      <c r="B1181" s="2" t="str">
        <f>"FES1162768658"</f>
        <v>FES1162768658</v>
      </c>
      <c r="C1181" s="2" t="s">
        <v>802</v>
      </c>
      <c r="D1181" s="2">
        <v>1</v>
      </c>
      <c r="E1181" s="2" t="str">
        <f>"2170753773"</f>
        <v>2170753773</v>
      </c>
      <c r="F1181" s="2" t="s">
        <v>17</v>
      </c>
      <c r="G1181" s="2" t="s">
        <v>18</v>
      </c>
      <c r="H1181" s="2" t="s">
        <v>18</v>
      </c>
      <c r="I1181" s="2" t="s">
        <v>50</v>
      </c>
      <c r="J1181" s="2" t="s">
        <v>879</v>
      </c>
      <c r="K1181" s="2" t="s">
        <v>1008</v>
      </c>
      <c r="L1181" s="3">
        <v>0.35833333333333334</v>
      </c>
      <c r="M1181" s="2" t="s">
        <v>1089</v>
      </c>
      <c r="N1181" s="2" t="s">
        <v>500</v>
      </c>
      <c r="O1181" s="2"/>
    </row>
    <row r="1182" spans="1:15" x14ac:dyDescent="0.25">
      <c r="A1182" s="2" t="s">
        <v>15</v>
      </c>
      <c r="B1182" s="2" t="str">
        <f>"FES1162768551"</f>
        <v>FES1162768551</v>
      </c>
      <c r="C1182" s="2" t="s">
        <v>802</v>
      </c>
      <c r="D1182" s="2">
        <v>1</v>
      </c>
      <c r="E1182" s="2" t="str">
        <f>"2170752958"</f>
        <v>2170752958</v>
      </c>
      <c r="F1182" s="2" t="s">
        <v>17</v>
      </c>
      <c r="G1182" s="2" t="s">
        <v>18</v>
      </c>
      <c r="H1182" s="2" t="s">
        <v>18</v>
      </c>
      <c r="I1182" s="2" t="s">
        <v>50</v>
      </c>
      <c r="J1182" s="2" t="s">
        <v>879</v>
      </c>
      <c r="K1182" s="2" t="s">
        <v>1008</v>
      </c>
      <c r="L1182" s="3">
        <v>0.35833333333333334</v>
      </c>
      <c r="M1182" s="2" t="s">
        <v>1089</v>
      </c>
      <c r="N1182" s="2" t="s">
        <v>500</v>
      </c>
      <c r="O1182" s="2"/>
    </row>
    <row r="1183" spans="1:15" x14ac:dyDescent="0.25">
      <c r="A1183" s="2" t="s">
        <v>15</v>
      </c>
      <c r="B1183" s="2" t="str">
        <f>"FES1162768960"</f>
        <v>FES1162768960</v>
      </c>
      <c r="C1183" s="2" t="s">
        <v>802</v>
      </c>
      <c r="D1183" s="2">
        <v>1</v>
      </c>
      <c r="E1183" s="2" t="str">
        <f>"2170756549"</f>
        <v>2170756549</v>
      </c>
      <c r="F1183" s="2" t="s">
        <v>17</v>
      </c>
      <c r="G1183" s="2" t="s">
        <v>18</v>
      </c>
      <c r="H1183" s="2" t="s">
        <v>19</v>
      </c>
      <c r="I1183" s="2" t="s">
        <v>130</v>
      </c>
      <c r="J1183" s="2" t="s">
        <v>131</v>
      </c>
      <c r="K1183" s="2" t="s">
        <v>1008</v>
      </c>
      <c r="L1183" s="3">
        <v>0.42986111111111108</v>
      </c>
      <c r="M1183" s="2" t="s">
        <v>236</v>
      </c>
      <c r="N1183" s="2" t="s">
        <v>500</v>
      </c>
      <c r="O1183" s="2"/>
    </row>
    <row r="1184" spans="1:15" x14ac:dyDescent="0.25">
      <c r="A1184" s="2" t="s">
        <v>15</v>
      </c>
      <c r="B1184" s="2" t="str">
        <f>"FES1162768980"</f>
        <v>FES1162768980</v>
      </c>
      <c r="C1184" s="2" t="s">
        <v>802</v>
      </c>
      <c r="D1184" s="2">
        <v>1</v>
      </c>
      <c r="E1184" s="2" t="str">
        <f>"2170756564"</f>
        <v>2170756564</v>
      </c>
      <c r="F1184" s="2" t="s">
        <v>17</v>
      </c>
      <c r="G1184" s="2" t="s">
        <v>18</v>
      </c>
      <c r="H1184" s="2" t="s">
        <v>25</v>
      </c>
      <c r="I1184" s="2" t="s">
        <v>26</v>
      </c>
      <c r="J1184" s="2" t="s">
        <v>75</v>
      </c>
      <c r="K1184" s="2" t="s">
        <v>1008</v>
      </c>
      <c r="L1184" s="3">
        <v>0.33402777777777781</v>
      </c>
      <c r="M1184" s="2" t="s">
        <v>518</v>
      </c>
      <c r="N1184" s="2" t="s">
        <v>500</v>
      </c>
      <c r="O1184" s="2"/>
    </row>
    <row r="1185" spans="1:15" x14ac:dyDescent="0.25">
      <c r="A1185" s="2" t="s">
        <v>15</v>
      </c>
      <c r="B1185" s="2" t="str">
        <f>"FES1162768642"</f>
        <v>FES1162768642</v>
      </c>
      <c r="C1185" s="2" t="s">
        <v>802</v>
      </c>
      <c r="D1185" s="2">
        <v>1</v>
      </c>
      <c r="E1185" s="2" t="str">
        <f>"2170753458"</f>
        <v>2170753458</v>
      </c>
      <c r="F1185" s="2" t="s">
        <v>17</v>
      </c>
      <c r="G1185" s="2" t="s">
        <v>18</v>
      </c>
      <c r="H1185" s="2" t="s">
        <v>18</v>
      </c>
      <c r="I1185" s="2" t="s">
        <v>52</v>
      </c>
      <c r="J1185" s="2" t="s">
        <v>1030</v>
      </c>
      <c r="K1185" s="2" t="s">
        <v>1008</v>
      </c>
      <c r="L1185" s="3">
        <v>0.36527777777777781</v>
      </c>
      <c r="M1185" s="2" t="s">
        <v>1090</v>
      </c>
      <c r="N1185" s="2" t="s">
        <v>500</v>
      </c>
      <c r="O1185" s="2"/>
    </row>
    <row r="1186" spans="1:15" x14ac:dyDescent="0.25">
      <c r="A1186" s="2" t="s">
        <v>15</v>
      </c>
      <c r="B1186" s="2" t="str">
        <f>"FES1162768999"</f>
        <v>FES1162768999</v>
      </c>
      <c r="C1186" s="2" t="s">
        <v>802</v>
      </c>
      <c r="D1186" s="2">
        <v>1</v>
      </c>
      <c r="E1186" s="2" t="str">
        <f>"2170753278"</f>
        <v>2170753278</v>
      </c>
      <c r="F1186" s="2" t="s">
        <v>17</v>
      </c>
      <c r="G1186" s="2" t="s">
        <v>18</v>
      </c>
      <c r="H1186" s="2" t="s">
        <v>36</v>
      </c>
      <c r="I1186" s="2" t="s">
        <v>37</v>
      </c>
      <c r="J1186" s="2" t="s">
        <v>162</v>
      </c>
      <c r="K1186" s="2" t="s">
        <v>1008</v>
      </c>
      <c r="L1186" s="3">
        <v>0.36944444444444446</v>
      </c>
      <c r="M1186" s="2" t="s">
        <v>268</v>
      </c>
      <c r="N1186" s="2" t="s">
        <v>500</v>
      </c>
      <c r="O1186" s="2"/>
    </row>
    <row r="1187" spans="1:15" x14ac:dyDescent="0.25">
      <c r="A1187" s="2" t="s">
        <v>15</v>
      </c>
      <c r="B1187" s="2" t="str">
        <f>"FES1162768652"</f>
        <v>FES1162768652</v>
      </c>
      <c r="C1187" s="2" t="s">
        <v>802</v>
      </c>
      <c r="D1187" s="2">
        <v>1</v>
      </c>
      <c r="E1187" s="2" t="str">
        <f>"2170753569"</f>
        <v>2170753569</v>
      </c>
      <c r="F1187" s="2" t="s">
        <v>17</v>
      </c>
      <c r="G1187" s="2" t="s">
        <v>18</v>
      </c>
      <c r="H1187" s="2" t="s">
        <v>36</v>
      </c>
      <c r="I1187" s="2" t="s">
        <v>37</v>
      </c>
      <c r="J1187" s="2" t="s">
        <v>162</v>
      </c>
      <c r="K1187" s="2" t="s">
        <v>1008</v>
      </c>
      <c r="L1187" s="3">
        <v>0.35416666666666669</v>
      </c>
      <c r="M1187" s="2" t="s">
        <v>268</v>
      </c>
      <c r="N1187" s="2" t="s">
        <v>500</v>
      </c>
      <c r="O1187" s="2"/>
    </row>
    <row r="1188" spans="1:15" x14ac:dyDescent="0.25">
      <c r="A1188" s="2" t="s">
        <v>15</v>
      </c>
      <c r="B1188" s="2" t="str">
        <f>"FES1162768713"</f>
        <v>FES1162768713</v>
      </c>
      <c r="C1188" s="2" t="s">
        <v>802</v>
      </c>
      <c r="D1188" s="2">
        <v>1</v>
      </c>
      <c r="E1188" s="2" t="str">
        <f>"2170748982"</f>
        <v>2170748982</v>
      </c>
      <c r="F1188" s="2" t="s">
        <v>17</v>
      </c>
      <c r="G1188" s="2" t="s">
        <v>18</v>
      </c>
      <c r="H1188" s="2" t="s">
        <v>36</v>
      </c>
      <c r="I1188" s="2" t="s">
        <v>37</v>
      </c>
      <c r="J1188" s="2" t="s">
        <v>102</v>
      </c>
      <c r="K1188" s="2" t="s">
        <v>1008</v>
      </c>
      <c r="L1188" s="3">
        <v>0.3833333333333333</v>
      </c>
      <c r="M1188" s="2" t="s">
        <v>219</v>
      </c>
      <c r="N1188" s="2" t="s">
        <v>500</v>
      </c>
      <c r="O1188" s="2"/>
    </row>
    <row r="1189" spans="1:15" x14ac:dyDescent="0.25">
      <c r="A1189" s="2" t="s">
        <v>15</v>
      </c>
      <c r="B1189" s="2" t="str">
        <f>"FES1162768890"</f>
        <v>FES1162768890</v>
      </c>
      <c r="C1189" s="2" t="s">
        <v>802</v>
      </c>
      <c r="D1189" s="2">
        <v>1</v>
      </c>
      <c r="E1189" s="2" t="str">
        <f>"2170755892"</f>
        <v>2170755892</v>
      </c>
      <c r="F1189" s="2" t="s">
        <v>17</v>
      </c>
      <c r="G1189" s="2" t="s">
        <v>18</v>
      </c>
      <c r="H1189" s="2" t="s">
        <v>18</v>
      </c>
      <c r="I1189" s="2" t="s">
        <v>57</v>
      </c>
      <c r="J1189" s="2" t="s">
        <v>1031</v>
      </c>
      <c r="K1189" s="2" t="s">
        <v>1008</v>
      </c>
      <c r="L1189" s="3">
        <v>0.33680555555555558</v>
      </c>
      <c r="M1189" s="2" t="s">
        <v>1091</v>
      </c>
      <c r="N1189" s="2" t="s">
        <v>500</v>
      </c>
      <c r="O1189" s="2"/>
    </row>
    <row r="1190" spans="1:15" x14ac:dyDescent="0.25">
      <c r="A1190" s="2" t="s">
        <v>15</v>
      </c>
      <c r="B1190" s="2" t="str">
        <f>"FES1162768975"</f>
        <v>FES1162768975</v>
      </c>
      <c r="C1190" s="2" t="s">
        <v>802</v>
      </c>
      <c r="D1190" s="2">
        <v>1</v>
      </c>
      <c r="E1190" s="2" t="str">
        <f>"2170756559"</f>
        <v>2170756559</v>
      </c>
      <c r="F1190" s="2" t="s">
        <v>17</v>
      </c>
      <c r="G1190" s="2" t="s">
        <v>18</v>
      </c>
      <c r="H1190" s="2" t="s">
        <v>33</v>
      </c>
      <c r="I1190" s="2" t="s">
        <v>34</v>
      </c>
      <c r="J1190" s="2" t="s">
        <v>400</v>
      </c>
      <c r="K1190" s="2" t="s">
        <v>1008</v>
      </c>
      <c r="L1190" s="3">
        <v>0.43333333333333335</v>
      </c>
      <c r="M1190" s="2" t="s">
        <v>706</v>
      </c>
      <c r="N1190" s="2" t="s">
        <v>500</v>
      </c>
      <c r="O1190" s="2"/>
    </row>
    <row r="1191" spans="1:15" x14ac:dyDescent="0.25">
      <c r="A1191" s="2" t="s">
        <v>15</v>
      </c>
      <c r="B1191" s="2" t="str">
        <f>"FES1162769004"</f>
        <v>FES1162769004</v>
      </c>
      <c r="C1191" s="2" t="s">
        <v>802</v>
      </c>
      <c r="D1191" s="2">
        <v>1</v>
      </c>
      <c r="E1191" s="2" t="str">
        <f>"2170753307"</f>
        <v>2170753307</v>
      </c>
      <c r="F1191" s="2" t="s">
        <v>17</v>
      </c>
      <c r="G1191" s="2" t="s">
        <v>18</v>
      </c>
      <c r="H1191" s="2" t="s">
        <v>36</v>
      </c>
      <c r="I1191" s="2" t="s">
        <v>37</v>
      </c>
      <c r="J1191" s="2" t="s">
        <v>162</v>
      </c>
      <c r="K1191" s="2" t="s">
        <v>1008</v>
      </c>
      <c r="L1191" s="3">
        <v>0.33333333333333331</v>
      </c>
      <c r="M1191" s="2" t="s">
        <v>268</v>
      </c>
      <c r="N1191" s="2" t="s">
        <v>500</v>
      </c>
      <c r="O1191" s="2"/>
    </row>
    <row r="1192" spans="1:15" x14ac:dyDescent="0.25">
      <c r="A1192" s="2" t="s">
        <v>15</v>
      </c>
      <c r="B1192" s="2" t="str">
        <f>"FES1162768936"</f>
        <v>FES1162768936</v>
      </c>
      <c r="C1192" s="2" t="s">
        <v>802</v>
      </c>
      <c r="D1192" s="2">
        <v>1</v>
      </c>
      <c r="E1192" s="2" t="str">
        <f>"2170756523"</f>
        <v>2170756523</v>
      </c>
      <c r="F1192" s="2" t="s">
        <v>17</v>
      </c>
      <c r="G1192" s="2" t="s">
        <v>18</v>
      </c>
      <c r="H1192" s="2" t="s">
        <v>78</v>
      </c>
      <c r="I1192" s="2" t="s">
        <v>79</v>
      </c>
      <c r="J1192" s="2" t="s">
        <v>81</v>
      </c>
      <c r="K1192" s="2" t="s">
        <v>1008</v>
      </c>
      <c r="L1192" s="3">
        <v>0.33333333333333331</v>
      </c>
      <c r="M1192" s="2" t="s">
        <v>1078</v>
      </c>
      <c r="N1192" s="2" t="s">
        <v>500</v>
      </c>
      <c r="O1192" s="2"/>
    </row>
    <row r="1193" spans="1:15" x14ac:dyDescent="0.25">
      <c r="A1193" s="2" t="s">
        <v>15</v>
      </c>
      <c r="B1193" s="2" t="str">
        <f>"FES1162768957"</f>
        <v>FES1162768957</v>
      </c>
      <c r="C1193" s="2" t="s">
        <v>802</v>
      </c>
      <c r="D1193" s="2">
        <v>1</v>
      </c>
      <c r="E1193" s="2" t="str">
        <f>"2170756546"</f>
        <v>2170756546</v>
      </c>
      <c r="F1193" s="2" t="s">
        <v>17</v>
      </c>
      <c r="G1193" s="2" t="s">
        <v>18</v>
      </c>
      <c r="H1193" s="2" t="s">
        <v>19</v>
      </c>
      <c r="I1193" s="2" t="s">
        <v>111</v>
      </c>
      <c r="J1193" s="2" t="s">
        <v>385</v>
      </c>
      <c r="K1193" s="2" t="s">
        <v>1008</v>
      </c>
      <c r="L1193" s="3">
        <v>0.3888888888888889</v>
      </c>
      <c r="M1193" s="2" t="s">
        <v>386</v>
      </c>
      <c r="N1193" s="2" t="s">
        <v>500</v>
      </c>
      <c r="O1193" s="2"/>
    </row>
    <row r="1194" spans="1:15" x14ac:dyDescent="0.25">
      <c r="A1194" s="5" t="s">
        <v>15</v>
      </c>
      <c r="B1194" s="5" t="str">
        <f>"FES1162768732"</f>
        <v>FES1162768732</v>
      </c>
      <c r="C1194" s="5" t="s">
        <v>802</v>
      </c>
      <c r="D1194" s="5">
        <v>1</v>
      </c>
      <c r="E1194" s="5" t="str">
        <f>"2170753824"</f>
        <v>2170753824</v>
      </c>
      <c r="F1194" s="5" t="s">
        <v>17</v>
      </c>
      <c r="G1194" s="5" t="s">
        <v>18</v>
      </c>
      <c r="H1194" s="5" t="s">
        <v>36</v>
      </c>
      <c r="I1194" s="5" t="s">
        <v>1032</v>
      </c>
      <c r="J1194" s="5" t="s">
        <v>1033</v>
      </c>
      <c r="K1194" s="5" t="s">
        <v>1506</v>
      </c>
      <c r="L1194" s="9">
        <v>0.60625000000000007</v>
      </c>
      <c r="M1194" s="5" t="s">
        <v>1828</v>
      </c>
      <c r="N1194" s="5" t="s">
        <v>500</v>
      </c>
      <c r="O1194" s="5" t="s">
        <v>1240</v>
      </c>
    </row>
    <row r="1195" spans="1:15" x14ac:dyDescent="0.25">
      <c r="A1195" s="2" t="s">
        <v>15</v>
      </c>
      <c r="B1195" s="2" t="str">
        <f>"FES1162768570"</f>
        <v>FES1162768570</v>
      </c>
      <c r="C1195" s="2" t="s">
        <v>802</v>
      </c>
      <c r="D1195" s="2">
        <v>1</v>
      </c>
      <c r="E1195" s="2" t="str">
        <f>"2170753936"</f>
        <v>2170753936</v>
      </c>
      <c r="F1195" s="2" t="s">
        <v>17</v>
      </c>
      <c r="G1195" s="2" t="s">
        <v>18</v>
      </c>
      <c r="H1195" s="2" t="s">
        <v>1034</v>
      </c>
      <c r="I1195" s="2" t="s">
        <v>1035</v>
      </c>
      <c r="J1195" s="2" t="s">
        <v>1036</v>
      </c>
      <c r="K1195" s="2" t="s">
        <v>1008</v>
      </c>
      <c r="L1195" s="3">
        <v>0.69444444444444453</v>
      </c>
      <c r="M1195" s="2" t="s">
        <v>1092</v>
      </c>
      <c r="N1195" s="2" t="s">
        <v>500</v>
      </c>
      <c r="O1195" s="2"/>
    </row>
    <row r="1196" spans="1:15" x14ac:dyDescent="0.25">
      <c r="A1196" s="2" t="s">
        <v>15</v>
      </c>
      <c r="B1196" s="2" t="str">
        <f>"FES1162768983"</f>
        <v>FES1162768983</v>
      </c>
      <c r="C1196" s="2" t="s">
        <v>802</v>
      </c>
      <c r="D1196" s="2">
        <v>1</v>
      </c>
      <c r="E1196" s="2" t="str">
        <f>"2170756569"</f>
        <v>2170756569</v>
      </c>
      <c r="F1196" s="2" t="s">
        <v>17</v>
      </c>
      <c r="G1196" s="2" t="s">
        <v>18</v>
      </c>
      <c r="H1196" s="2" t="s">
        <v>88</v>
      </c>
      <c r="I1196" s="2" t="s">
        <v>109</v>
      </c>
      <c r="J1196" s="2" t="s">
        <v>66</v>
      </c>
      <c r="K1196" s="2" t="s">
        <v>1008</v>
      </c>
      <c r="L1196" s="3">
        <v>0.4465277777777778</v>
      </c>
      <c r="M1196" s="2" t="s">
        <v>969</v>
      </c>
      <c r="N1196" s="2" t="s">
        <v>500</v>
      </c>
      <c r="O1196" s="2"/>
    </row>
    <row r="1197" spans="1:15" x14ac:dyDescent="0.25">
      <c r="A1197" s="2" t="s">
        <v>15</v>
      </c>
      <c r="B1197" s="2" t="str">
        <f>"FES1162768518"</f>
        <v>FES1162768518</v>
      </c>
      <c r="C1197" s="2" t="s">
        <v>802</v>
      </c>
      <c r="D1197" s="2">
        <v>1</v>
      </c>
      <c r="E1197" s="2" t="str">
        <f>"2170756403"</f>
        <v>2170756403</v>
      </c>
      <c r="F1197" s="2" t="s">
        <v>17</v>
      </c>
      <c r="G1197" s="2" t="s">
        <v>18</v>
      </c>
      <c r="H1197" s="2" t="s">
        <v>18</v>
      </c>
      <c r="I1197" s="2" t="s">
        <v>63</v>
      </c>
      <c r="J1197" s="2" t="s">
        <v>1037</v>
      </c>
      <c r="K1197" s="2" t="s">
        <v>1008</v>
      </c>
      <c r="L1197" s="3">
        <v>0.41666666666666669</v>
      </c>
      <c r="M1197" s="2" t="s">
        <v>1093</v>
      </c>
      <c r="N1197" s="2" t="s">
        <v>500</v>
      </c>
      <c r="O1197" s="2"/>
    </row>
    <row r="1198" spans="1:15" x14ac:dyDescent="0.25">
      <c r="A1198" s="2" t="s">
        <v>15</v>
      </c>
      <c r="B1198" s="2" t="str">
        <f>"FES1162768832"</f>
        <v>FES1162768832</v>
      </c>
      <c r="C1198" s="2" t="s">
        <v>802</v>
      </c>
      <c r="D1198" s="2">
        <v>1</v>
      </c>
      <c r="E1198" s="2" t="str">
        <f>"2170753421"</f>
        <v>2170753421</v>
      </c>
      <c r="F1198" s="2" t="s">
        <v>17</v>
      </c>
      <c r="G1198" s="2" t="s">
        <v>18</v>
      </c>
      <c r="H1198" s="2" t="s">
        <v>18</v>
      </c>
      <c r="I1198" s="2" t="s">
        <v>63</v>
      </c>
      <c r="J1198" s="2" t="s">
        <v>1038</v>
      </c>
      <c r="K1198" s="2" t="s">
        <v>1008</v>
      </c>
      <c r="L1198" s="3">
        <v>0.37361111111111112</v>
      </c>
      <c r="M1198" s="2" t="s">
        <v>1094</v>
      </c>
      <c r="N1198" s="2" t="s">
        <v>500</v>
      </c>
      <c r="O1198" s="2"/>
    </row>
    <row r="1199" spans="1:15" x14ac:dyDescent="0.25">
      <c r="A1199" s="2" t="s">
        <v>15</v>
      </c>
      <c r="B1199" s="2" t="str">
        <f>"FES1162769012"</f>
        <v>FES1162769012</v>
      </c>
      <c r="C1199" s="2" t="s">
        <v>802</v>
      </c>
      <c r="D1199" s="2">
        <v>1</v>
      </c>
      <c r="E1199" s="2" t="str">
        <f>"2170750332"</f>
        <v>2170750332</v>
      </c>
      <c r="F1199" s="2" t="s">
        <v>17</v>
      </c>
      <c r="G1199" s="2" t="s">
        <v>18</v>
      </c>
      <c r="H1199" s="2" t="s">
        <v>88</v>
      </c>
      <c r="I1199" s="2" t="s">
        <v>109</v>
      </c>
      <c r="J1199" s="2" t="s">
        <v>1039</v>
      </c>
      <c r="K1199" s="2" t="s">
        <v>1008</v>
      </c>
      <c r="L1199" s="3">
        <v>0.40625</v>
      </c>
      <c r="M1199" s="2" t="s">
        <v>1095</v>
      </c>
      <c r="N1199" s="2" t="s">
        <v>500</v>
      </c>
      <c r="O1199" s="2"/>
    </row>
    <row r="1200" spans="1:15" x14ac:dyDescent="0.25">
      <c r="A1200" s="2" t="s">
        <v>15</v>
      </c>
      <c r="B1200" s="2" t="str">
        <f>"FES1162768997"</f>
        <v>FES1162768997</v>
      </c>
      <c r="C1200" s="2" t="s">
        <v>802</v>
      </c>
      <c r="D1200" s="2">
        <v>1</v>
      </c>
      <c r="E1200" s="2" t="str">
        <f>"2170756582"</f>
        <v>2170756582</v>
      </c>
      <c r="F1200" s="2" t="s">
        <v>17</v>
      </c>
      <c r="G1200" s="2" t="s">
        <v>18</v>
      </c>
      <c r="H1200" s="2" t="s">
        <v>18</v>
      </c>
      <c r="I1200" s="2" t="s">
        <v>478</v>
      </c>
      <c r="J1200" s="2" t="s">
        <v>498</v>
      </c>
      <c r="K1200" s="2" t="s">
        <v>1008</v>
      </c>
      <c r="L1200" s="3">
        <v>0.34652777777777777</v>
      </c>
      <c r="M1200" s="2" t="s">
        <v>810</v>
      </c>
      <c r="N1200" s="2" t="s">
        <v>500</v>
      </c>
      <c r="O1200" s="2"/>
    </row>
    <row r="1201" spans="1:15" x14ac:dyDescent="0.25">
      <c r="A1201" s="2" t="s">
        <v>15</v>
      </c>
      <c r="B1201" s="2" t="str">
        <f>"FES1162768839"</f>
        <v>FES1162768839</v>
      </c>
      <c r="C1201" s="2" t="s">
        <v>802</v>
      </c>
      <c r="D1201" s="2">
        <v>1</v>
      </c>
      <c r="E1201" s="2" t="str">
        <f>"2170754095"</f>
        <v>2170754095</v>
      </c>
      <c r="F1201" s="2" t="s">
        <v>17</v>
      </c>
      <c r="G1201" s="2" t="s">
        <v>18</v>
      </c>
      <c r="H1201" s="2" t="s">
        <v>18</v>
      </c>
      <c r="I1201" s="2" t="s">
        <v>390</v>
      </c>
      <c r="J1201" s="2" t="s">
        <v>391</v>
      </c>
      <c r="K1201" s="2" t="s">
        <v>1008</v>
      </c>
      <c r="L1201" s="3">
        <v>0.41666666666666669</v>
      </c>
      <c r="M1201" s="2" t="s">
        <v>392</v>
      </c>
      <c r="N1201" s="2" t="s">
        <v>500</v>
      </c>
      <c r="O1201" s="2"/>
    </row>
    <row r="1202" spans="1:15" x14ac:dyDescent="0.25">
      <c r="A1202" s="2" t="s">
        <v>15</v>
      </c>
      <c r="B1202" s="2" t="str">
        <f>"FES1162768565"</f>
        <v>FES1162768565</v>
      </c>
      <c r="C1202" s="2" t="s">
        <v>802</v>
      </c>
      <c r="D1202" s="2">
        <v>1</v>
      </c>
      <c r="E1202" s="2" t="str">
        <f>"2170753904"</f>
        <v>2170753904</v>
      </c>
      <c r="F1202" s="2" t="s">
        <v>17</v>
      </c>
      <c r="G1202" s="2" t="s">
        <v>18</v>
      </c>
      <c r="H1202" s="2" t="s">
        <v>25</v>
      </c>
      <c r="I1202" s="2" t="s">
        <v>39</v>
      </c>
      <c r="J1202" s="2" t="s">
        <v>161</v>
      </c>
      <c r="K1202" s="2" t="s">
        <v>1008</v>
      </c>
      <c r="L1202" s="3">
        <v>0.54166666666666663</v>
      </c>
      <c r="M1202" s="2" t="s">
        <v>977</v>
      </c>
      <c r="N1202" s="2" t="s">
        <v>500</v>
      </c>
      <c r="O1202" s="2"/>
    </row>
    <row r="1203" spans="1:15" x14ac:dyDescent="0.25">
      <c r="A1203" s="2" t="s">
        <v>15</v>
      </c>
      <c r="B1203" s="2" t="str">
        <f>"FES1162768769"</f>
        <v>FES1162768769</v>
      </c>
      <c r="C1203" s="2" t="s">
        <v>802</v>
      </c>
      <c r="D1203" s="2">
        <v>1</v>
      </c>
      <c r="E1203" s="2" t="str">
        <f>"2170753850"</f>
        <v>2170753850</v>
      </c>
      <c r="F1203" s="2" t="s">
        <v>17</v>
      </c>
      <c r="G1203" s="2" t="s">
        <v>18</v>
      </c>
      <c r="H1203" s="2" t="s">
        <v>25</v>
      </c>
      <c r="I1203" s="2" t="s">
        <v>39</v>
      </c>
      <c r="J1203" s="2" t="s">
        <v>161</v>
      </c>
      <c r="K1203" s="2" t="s">
        <v>1008</v>
      </c>
      <c r="L1203" s="3">
        <v>0.54166666666666663</v>
      </c>
      <c r="M1203" s="2" t="s">
        <v>977</v>
      </c>
      <c r="N1203" s="2" t="s">
        <v>500</v>
      </c>
      <c r="O1203" s="2"/>
    </row>
    <row r="1204" spans="1:15" x14ac:dyDescent="0.25">
      <c r="A1204" s="2" t="s">
        <v>15</v>
      </c>
      <c r="B1204" s="2" t="str">
        <f>"FES1162768562"</f>
        <v>FES1162768562</v>
      </c>
      <c r="C1204" s="2" t="s">
        <v>802</v>
      </c>
      <c r="D1204" s="2">
        <v>1</v>
      </c>
      <c r="E1204" s="2" t="str">
        <f>"2170753850"</f>
        <v>2170753850</v>
      </c>
      <c r="F1204" s="2" t="s">
        <v>17</v>
      </c>
      <c r="G1204" s="2" t="s">
        <v>18</v>
      </c>
      <c r="H1204" s="2" t="s">
        <v>25</v>
      </c>
      <c r="I1204" s="2" t="s">
        <v>39</v>
      </c>
      <c r="J1204" s="2" t="s">
        <v>161</v>
      </c>
      <c r="K1204" s="2" t="s">
        <v>1008</v>
      </c>
      <c r="L1204" s="3">
        <v>0.54166666666666663</v>
      </c>
      <c r="M1204" s="2" t="s">
        <v>977</v>
      </c>
      <c r="N1204" s="2" t="s">
        <v>500</v>
      </c>
      <c r="O1204" s="2"/>
    </row>
    <row r="1205" spans="1:15" x14ac:dyDescent="0.25">
      <c r="A1205" s="2" t="s">
        <v>15</v>
      </c>
      <c r="B1205" s="2" t="str">
        <f>"FES1162768939"</f>
        <v>FES1162768939</v>
      </c>
      <c r="C1205" s="2" t="s">
        <v>802</v>
      </c>
      <c r="D1205" s="2">
        <v>1</v>
      </c>
      <c r="E1205" s="2" t="str">
        <f>"2170756344"</f>
        <v>2170756344</v>
      </c>
      <c r="F1205" s="2" t="s">
        <v>17</v>
      </c>
      <c r="G1205" s="2" t="s">
        <v>18</v>
      </c>
      <c r="H1205" s="2" t="s">
        <v>25</v>
      </c>
      <c r="I1205" s="2" t="s">
        <v>39</v>
      </c>
      <c r="J1205" s="2" t="s">
        <v>40</v>
      </c>
      <c r="K1205" s="2" t="s">
        <v>1008</v>
      </c>
      <c r="L1205" s="3">
        <v>0.53263888888888888</v>
      </c>
      <c r="M1205" s="2" t="s">
        <v>326</v>
      </c>
      <c r="N1205" s="2" t="s">
        <v>500</v>
      </c>
      <c r="O1205" s="2"/>
    </row>
    <row r="1206" spans="1:15" x14ac:dyDescent="0.25">
      <c r="A1206" s="2" t="s">
        <v>15</v>
      </c>
      <c r="B1206" s="2" t="str">
        <f>"FES1162768857"</f>
        <v>FES1162768857</v>
      </c>
      <c r="C1206" s="2" t="s">
        <v>802</v>
      </c>
      <c r="D1206" s="2">
        <v>1</v>
      </c>
      <c r="E1206" s="2" t="str">
        <f>"2170754200"</f>
        <v>2170754200</v>
      </c>
      <c r="F1206" s="2" t="s">
        <v>17</v>
      </c>
      <c r="G1206" s="2" t="s">
        <v>18</v>
      </c>
      <c r="H1206" s="2" t="s">
        <v>25</v>
      </c>
      <c r="I1206" s="2" t="s">
        <v>26</v>
      </c>
      <c r="J1206" s="2" t="s">
        <v>44</v>
      </c>
      <c r="K1206" s="2" t="s">
        <v>1008</v>
      </c>
      <c r="L1206" s="3">
        <v>0.40833333333333338</v>
      </c>
      <c r="M1206" s="2" t="s">
        <v>181</v>
      </c>
      <c r="N1206" s="2" t="s">
        <v>500</v>
      </c>
      <c r="O1206" s="2"/>
    </row>
    <row r="1207" spans="1:15" x14ac:dyDescent="0.25">
      <c r="A1207" s="2" t="s">
        <v>15</v>
      </c>
      <c r="B1207" s="2" t="str">
        <f>"FES1162768770"</f>
        <v>FES1162768770</v>
      </c>
      <c r="C1207" s="2" t="s">
        <v>802</v>
      </c>
      <c r="D1207" s="2">
        <v>2</v>
      </c>
      <c r="E1207" s="2" t="str">
        <f>"2170768770"</f>
        <v>2170768770</v>
      </c>
      <c r="F1207" s="2" t="s">
        <v>17</v>
      </c>
      <c r="G1207" s="2" t="s">
        <v>18</v>
      </c>
      <c r="H1207" s="2" t="s">
        <v>25</v>
      </c>
      <c r="I1207" s="2" t="s">
        <v>39</v>
      </c>
      <c r="J1207" s="2" t="s">
        <v>161</v>
      </c>
      <c r="K1207" s="2" t="s">
        <v>1008</v>
      </c>
      <c r="L1207" s="3">
        <v>0.54166666666666663</v>
      </c>
      <c r="M1207" s="2" t="s">
        <v>977</v>
      </c>
      <c r="N1207" s="2" t="s">
        <v>500</v>
      </c>
      <c r="O1207" s="2"/>
    </row>
    <row r="1208" spans="1:15" x14ac:dyDescent="0.25">
      <c r="A1208" s="2" t="s">
        <v>15</v>
      </c>
      <c r="B1208" s="2" t="str">
        <f>"FES1162768729"</f>
        <v>FES1162768729</v>
      </c>
      <c r="C1208" s="2" t="s">
        <v>802</v>
      </c>
      <c r="D1208" s="2">
        <v>1</v>
      </c>
      <c r="E1208" s="2" t="str">
        <f>"2170753796"</f>
        <v>2170753796</v>
      </c>
      <c r="F1208" s="2" t="s">
        <v>17</v>
      </c>
      <c r="G1208" s="2" t="s">
        <v>18</v>
      </c>
      <c r="H1208" s="2" t="s">
        <v>88</v>
      </c>
      <c r="I1208" s="2" t="s">
        <v>109</v>
      </c>
      <c r="J1208" s="2" t="s">
        <v>614</v>
      </c>
      <c r="K1208" s="2" t="s">
        <v>1084</v>
      </c>
      <c r="L1208" s="3">
        <v>0.52361111111111114</v>
      </c>
      <c r="M1208" s="2" t="s">
        <v>1153</v>
      </c>
      <c r="N1208" s="2" t="s">
        <v>500</v>
      </c>
      <c r="O1208" s="2"/>
    </row>
    <row r="1209" spans="1:15" x14ac:dyDescent="0.25">
      <c r="A1209" s="2" t="s">
        <v>15</v>
      </c>
      <c r="B1209" s="2" t="str">
        <f>"FES1162769007"</f>
        <v>FES1162769007</v>
      </c>
      <c r="C1209" s="2" t="s">
        <v>802</v>
      </c>
      <c r="D1209" s="2">
        <v>1</v>
      </c>
      <c r="E1209" s="2" t="str">
        <f>"2170753730"</f>
        <v>2170753730</v>
      </c>
      <c r="F1209" s="2" t="s">
        <v>17</v>
      </c>
      <c r="G1209" s="2" t="s">
        <v>18</v>
      </c>
      <c r="H1209" s="2" t="s">
        <v>36</v>
      </c>
      <c r="I1209" s="2" t="s">
        <v>37</v>
      </c>
      <c r="J1209" s="2" t="s">
        <v>162</v>
      </c>
      <c r="K1209" s="2" t="s">
        <v>1008</v>
      </c>
      <c r="L1209" s="3">
        <v>0.33819444444444446</v>
      </c>
      <c r="M1209" s="2" t="s">
        <v>268</v>
      </c>
      <c r="N1209" s="2" t="s">
        <v>500</v>
      </c>
      <c r="O1209" s="2"/>
    </row>
    <row r="1210" spans="1:15" x14ac:dyDescent="0.25">
      <c r="A1210" s="2" t="s">
        <v>15</v>
      </c>
      <c r="B1210" s="2" t="str">
        <f>"FES1162768993"</f>
        <v>FES1162768993</v>
      </c>
      <c r="C1210" s="2" t="s">
        <v>802</v>
      </c>
      <c r="D1210" s="2">
        <v>1</v>
      </c>
      <c r="E1210" s="2" t="str">
        <f>"2170751426"</f>
        <v>2170751426</v>
      </c>
      <c r="F1210" s="2" t="s">
        <v>17</v>
      </c>
      <c r="G1210" s="2" t="s">
        <v>18</v>
      </c>
      <c r="H1210" s="2" t="s">
        <v>36</v>
      </c>
      <c r="I1210" s="2" t="s">
        <v>37</v>
      </c>
      <c r="J1210" s="2" t="s">
        <v>162</v>
      </c>
      <c r="K1210" s="2" t="s">
        <v>1008</v>
      </c>
      <c r="L1210" s="3">
        <v>0.33333333333333331</v>
      </c>
      <c r="M1210" s="2" t="s">
        <v>268</v>
      </c>
      <c r="N1210" s="2" t="s">
        <v>500</v>
      </c>
      <c r="O1210" s="2"/>
    </row>
    <row r="1211" spans="1:15" x14ac:dyDescent="0.25">
      <c r="A1211" s="2" t="s">
        <v>15</v>
      </c>
      <c r="B1211" s="2" t="str">
        <f>"FES1162768782"</f>
        <v>FES1162768782</v>
      </c>
      <c r="C1211" s="2" t="s">
        <v>802</v>
      </c>
      <c r="D1211" s="2">
        <v>1</v>
      </c>
      <c r="E1211" s="2" t="str">
        <f>"2170753679"</f>
        <v>2170753679</v>
      </c>
      <c r="F1211" s="2" t="s">
        <v>17</v>
      </c>
      <c r="G1211" s="2" t="s">
        <v>18</v>
      </c>
      <c r="H1211" s="2" t="s">
        <v>18</v>
      </c>
      <c r="I1211" s="2" t="s">
        <v>46</v>
      </c>
      <c r="J1211" s="2" t="s">
        <v>470</v>
      </c>
      <c r="K1211" s="2" t="s">
        <v>1008</v>
      </c>
      <c r="L1211" s="3">
        <v>0.3263888888888889</v>
      </c>
      <c r="M1211" s="2" t="s">
        <v>1096</v>
      </c>
      <c r="N1211" s="2" t="s">
        <v>500</v>
      </c>
      <c r="O1211" s="2"/>
    </row>
    <row r="1212" spans="1:15" x14ac:dyDescent="0.25">
      <c r="A1212" s="2" t="s">
        <v>15</v>
      </c>
      <c r="B1212" s="2" t="str">
        <f>"FES1162768925"</f>
        <v>FES1162768925</v>
      </c>
      <c r="C1212" s="2" t="s">
        <v>802</v>
      </c>
      <c r="D1212" s="2">
        <v>1</v>
      </c>
      <c r="E1212" s="2" t="str">
        <f>"2170756505"</f>
        <v>2170756505</v>
      </c>
      <c r="F1212" s="2" t="s">
        <v>17</v>
      </c>
      <c r="G1212" s="2" t="s">
        <v>18</v>
      </c>
      <c r="H1212" s="2" t="s">
        <v>19</v>
      </c>
      <c r="I1212" s="2" t="s">
        <v>20</v>
      </c>
      <c r="J1212" s="2" t="s">
        <v>359</v>
      </c>
      <c r="K1212" s="2" t="s">
        <v>1008</v>
      </c>
      <c r="L1212" s="3">
        <v>0.52083333333333337</v>
      </c>
      <c r="M1212" s="2" t="s">
        <v>860</v>
      </c>
      <c r="N1212" s="2" t="s">
        <v>500</v>
      </c>
      <c r="O1212" s="2"/>
    </row>
    <row r="1213" spans="1:15" x14ac:dyDescent="0.25">
      <c r="A1213" s="2" t="s">
        <v>15</v>
      </c>
      <c r="B1213" s="2" t="str">
        <f>"FES1162769015"</f>
        <v>FES1162769015</v>
      </c>
      <c r="C1213" s="2" t="s">
        <v>802</v>
      </c>
      <c r="D1213" s="2">
        <v>1</v>
      </c>
      <c r="E1213" s="2" t="str">
        <f>"2170751423"</f>
        <v>2170751423</v>
      </c>
      <c r="F1213" s="2" t="s">
        <v>17</v>
      </c>
      <c r="G1213" s="2" t="s">
        <v>18</v>
      </c>
      <c r="H1213" s="2" t="s">
        <v>88</v>
      </c>
      <c r="I1213" s="2" t="s">
        <v>109</v>
      </c>
      <c r="J1213" s="2" t="s">
        <v>1039</v>
      </c>
      <c r="K1213" s="2" t="s">
        <v>1008</v>
      </c>
      <c r="L1213" s="3">
        <v>0.40625</v>
      </c>
      <c r="M1213" s="2" t="s">
        <v>1097</v>
      </c>
      <c r="N1213" s="2" t="s">
        <v>500</v>
      </c>
      <c r="O1213" s="2"/>
    </row>
    <row r="1214" spans="1:15" x14ac:dyDescent="0.25">
      <c r="A1214" s="2" t="s">
        <v>15</v>
      </c>
      <c r="B1214" s="2" t="str">
        <f>"FES1162768969"</f>
        <v>FES1162768969</v>
      </c>
      <c r="C1214" s="2" t="s">
        <v>802</v>
      </c>
      <c r="D1214" s="2">
        <v>1</v>
      </c>
      <c r="E1214" s="2" t="str">
        <f>"2170755674"</f>
        <v>2170755674</v>
      </c>
      <c r="F1214" s="2" t="s">
        <v>17</v>
      </c>
      <c r="G1214" s="2" t="s">
        <v>18</v>
      </c>
      <c r="H1214" s="2" t="s">
        <v>88</v>
      </c>
      <c r="I1214" s="2" t="s">
        <v>109</v>
      </c>
      <c r="J1214" s="2" t="s">
        <v>66</v>
      </c>
      <c r="K1214" s="2" t="s">
        <v>1008</v>
      </c>
      <c r="L1214" s="3">
        <v>0.4465277777777778</v>
      </c>
      <c r="M1214" s="2" t="s">
        <v>969</v>
      </c>
      <c r="N1214" s="2" t="s">
        <v>500</v>
      </c>
      <c r="O1214" s="2"/>
    </row>
    <row r="1215" spans="1:15" x14ac:dyDescent="0.25">
      <c r="A1215" s="2" t="s">
        <v>15</v>
      </c>
      <c r="B1215" s="2" t="str">
        <f>"FES1162768950"</f>
        <v>FES1162768950</v>
      </c>
      <c r="C1215" s="2" t="s">
        <v>802</v>
      </c>
      <c r="D1215" s="2">
        <v>1</v>
      </c>
      <c r="E1215" s="2" t="str">
        <f>"2170756538"</f>
        <v>2170756538</v>
      </c>
      <c r="F1215" s="2" t="s">
        <v>17</v>
      </c>
      <c r="G1215" s="2" t="s">
        <v>18</v>
      </c>
      <c r="H1215" s="2" t="s">
        <v>25</v>
      </c>
      <c r="I1215" s="2" t="s">
        <v>26</v>
      </c>
      <c r="J1215" s="2" t="s">
        <v>27</v>
      </c>
      <c r="K1215" s="2" t="s">
        <v>1008</v>
      </c>
      <c r="L1215" s="3">
        <v>0.36249999999999999</v>
      </c>
      <c r="M1215" s="2" t="s">
        <v>171</v>
      </c>
      <c r="N1215" s="2" t="s">
        <v>500</v>
      </c>
      <c r="O1215" s="2"/>
    </row>
    <row r="1216" spans="1:15" x14ac:dyDescent="0.25">
      <c r="A1216" s="2" t="s">
        <v>15</v>
      </c>
      <c r="B1216" s="2" t="str">
        <f>"FES1162769031"</f>
        <v>FES1162769031</v>
      </c>
      <c r="C1216" s="2" t="s">
        <v>802</v>
      </c>
      <c r="D1216" s="2">
        <v>1</v>
      </c>
      <c r="E1216" s="2" t="str">
        <f>"2170756213"</f>
        <v>2170756213</v>
      </c>
      <c r="F1216" s="2" t="s">
        <v>17</v>
      </c>
      <c r="G1216" s="2" t="s">
        <v>18</v>
      </c>
      <c r="H1216" s="2" t="s">
        <v>88</v>
      </c>
      <c r="I1216" s="2" t="s">
        <v>109</v>
      </c>
      <c r="J1216" s="2" t="s">
        <v>1039</v>
      </c>
      <c r="K1216" s="2" t="s">
        <v>1008</v>
      </c>
      <c r="L1216" s="3">
        <v>0.40625</v>
      </c>
      <c r="M1216" s="2" t="s">
        <v>1095</v>
      </c>
      <c r="N1216" s="2" t="s">
        <v>500</v>
      </c>
      <c r="O1216" s="2"/>
    </row>
    <row r="1217" spans="1:15" x14ac:dyDescent="0.25">
      <c r="A1217" s="2" t="s">
        <v>15</v>
      </c>
      <c r="B1217" s="2" t="str">
        <f>"FES1162768587"</f>
        <v>FES1162768587</v>
      </c>
      <c r="C1217" s="2" t="s">
        <v>802</v>
      </c>
      <c r="D1217" s="2">
        <v>1</v>
      </c>
      <c r="E1217" s="2" t="str">
        <f>"2170754069"</f>
        <v>2170754069</v>
      </c>
      <c r="F1217" s="2" t="s">
        <v>17</v>
      </c>
      <c r="G1217" s="2" t="s">
        <v>18</v>
      </c>
      <c r="H1217" s="2" t="s">
        <v>19</v>
      </c>
      <c r="I1217" s="2" t="s">
        <v>111</v>
      </c>
      <c r="J1217" s="2" t="s">
        <v>357</v>
      </c>
      <c r="K1217" s="2" t="s">
        <v>1008</v>
      </c>
      <c r="L1217" s="3">
        <v>0.33749999999999997</v>
      </c>
      <c r="M1217" s="2" t="s">
        <v>1098</v>
      </c>
      <c r="N1217" s="2" t="s">
        <v>500</v>
      </c>
      <c r="O1217" s="2"/>
    </row>
    <row r="1218" spans="1:15" x14ac:dyDescent="0.25">
      <c r="A1218" s="2" t="s">
        <v>15</v>
      </c>
      <c r="B1218" s="2" t="str">
        <f>"FES1162769003"</f>
        <v>FES1162769003</v>
      </c>
      <c r="C1218" s="2" t="s">
        <v>802</v>
      </c>
      <c r="D1218" s="2">
        <v>1</v>
      </c>
      <c r="E1218" s="2" t="str">
        <f>"2170753220"</f>
        <v>2170753220</v>
      </c>
      <c r="F1218" s="2" t="s">
        <v>17</v>
      </c>
      <c r="G1218" s="2" t="s">
        <v>18</v>
      </c>
      <c r="H1218" s="2" t="s">
        <v>36</v>
      </c>
      <c r="I1218" s="2" t="s">
        <v>37</v>
      </c>
      <c r="J1218" s="2" t="s">
        <v>162</v>
      </c>
      <c r="K1218" s="2" t="s">
        <v>1008</v>
      </c>
      <c r="L1218" s="3">
        <v>0.33333333333333331</v>
      </c>
      <c r="M1218" s="2" t="s">
        <v>1099</v>
      </c>
      <c r="N1218" s="2" t="s">
        <v>500</v>
      </c>
      <c r="O1218" s="2"/>
    </row>
    <row r="1219" spans="1:15" x14ac:dyDescent="0.25">
      <c r="A1219" s="2" t="s">
        <v>15</v>
      </c>
      <c r="B1219" s="2" t="str">
        <f>"FES1162769019"</f>
        <v>FES1162769019</v>
      </c>
      <c r="C1219" s="2" t="s">
        <v>802</v>
      </c>
      <c r="D1219" s="2">
        <v>1</v>
      </c>
      <c r="E1219" s="2" t="str">
        <f>"2170752296"</f>
        <v>2170752296</v>
      </c>
      <c r="F1219" s="2" t="s">
        <v>17</v>
      </c>
      <c r="G1219" s="2" t="s">
        <v>18</v>
      </c>
      <c r="H1219" s="2" t="s">
        <v>88</v>
      </c>
      <c r="I1219" s="2" t="s">
        <v>109</v>
      </c>
      <c r="J1219" s="2" t="s">
        <v>1039</v>
      </c>
      <c r="K1219" s="2" t="s">
        <v>1008</v>
      </c>
      <c r="L1219" s="3">
        <v>0.40625</v>
      </c>
      <c r="M1219" s="2" t="s">
        <v>1100</v>
      </c>
      <c r="N1219" s="2" t="s">
        <v>500</v>
      </c>
      <c r="O1219" s="2"/>
    </row>
    <row r="1220" spans="1:15" x14ac:dyDescent="0.25">
      <c r="A1220" s="2" t="s">
        <v>15</v>
      </c>
      <c r="B1220" s="2" t="str">
        <f>"FES1162769024"</f>
        <v>FES1162769024</v>
      </c>
      <c r="C1220" s="2" t="s">
        <v>802</v>
      </c>
      <c r="D1220" s="2">
        <v>1</v>
      </c>
      <c r="E1220" s="2" t="str">
        <f>"2170754854"</f>
        <v>2170754854</v>
      </c>
      <c r="F1220" s="2" t="s">
        <v>17</v>
      </c>
      <c r="G1220" s="2" t="s">
        <v>18</v>
      </c>
      <c r="H1220" s="2" t="s">
        <v>88</v>
      </c>
      <c r="I1220" s="2" t="s">
        <v>109</v>
      </c>
      <c r="J1220" s="2" t="s">
        <v>1039</v>
      </c>
      <c r="K1220" s="2" t="s">
        <v>1008</v>
      </c>
      <c r="L1220" s="3">
        <v>0.40625</v>
      </c>
      <c r="M1220" s="2" t="s">
        <v>1095</v>
      </c>
      <c r="N1220" s="2" t="s">
        <v>500</v>
      </c>
      <c r="O1220" s="2"/>
    </row>
    <row r="1221" spans="1:15" x14ac:dyDescent="0.25">
      <c r="A1221" s="2" t="s">
        <v>15</v>
      </c>
      <c r="B1221" s="2" t="str">
        <f>"FES1162769014"</f>
        <v>FES1162769014</v>
      </c>
      <c r="C1221" s="2" t="s">
        <v>802</v>
      </c>
      <c r="D1221" s="2">
        <v>1</v>
      </c>
      <c r="E1221" s="2" t="str">
        <f>"2170751061"</f>
        <v>2170751061</v>
      </c>
      <c r="F1221" s="2" t="s">
        <v>17</v>
      </c>
      <c r="G1221" s="2" t="s">
        <v>18</v>
      </c>
      <c r="H1221" s="2" t="s">
        <v>88</v>
      </c>
      <c r="I1221" s="2" t="s">
        <v>109</v>
      </c>
      <c r="J1221" s="2" t="s">
        <v>1039</v>
      </c>
      <c r="K1221" s="2" t="s">
        <v>1008</v>
      </c>
      <c r="L1221" s="3">
        <v>0.40625</v>
      </c>
      <c r="M1221" s="2" t="s">
        <v>1100</v>
      </c>
      <c r="N1221" s="2" t="s">
        <v>500</v>
      </c>
      <c r="O1221" s="2"/>
    </row>
    <row r="1222" spans="1:15" x14ac:dyDescent="0.25">
      <c r="A1222" s="2" t="s">
        <v>15</v>
      </c>
      <c r="B1222" s="2" t="str">
        <f>"FES1162769023"</f>
        <v>FES1162769023</v>
      </c>
      <c r="C1222" s="2" t="s">
        <v>802</v>
      </c>
      <c r="D1222" s="2">
        <v>1</v>
      </c>
      <c r="E1222" s="2" t="str">
        <f>"2170754319"</f>
        <v>2170754319</v>
      </c>
      <c r="F1222" s="2" t="s">
        <v>17</v>
      </c>
      <c r="G1222" s="2" t="s">
        <v>18</v>
      </c>
      <c r="H1222" s="2" t="s">
        <v>88</v>
      </c>
      <c r="I1222" s="2" t="s">
        <v>109</v>
      </c>
      <c r="J1222" s="2" t="s">
        <v>66</v>
      </c>
      <c r="K1222" s="2" t="s">
        <v>1008</v>
      </c>
      <c r="L1222" s="3">
        <v>0.44791666666666669</v>
      </c>
      <c r="M1222" s="2" t="s">
        <v>969</v>
      </c>
      <c r="N1222" s="2" t="s">
        <v>500</v>
      </c>
      <c r="O1222" s="2"/>
    </row>
    <row r="1223" spans="1:15" x14ac:dyDescent="0.25">
      <c r="A1223" s="2" t="s">
        <v>15</v>
      </c>
      <c r="B1223" s="2" t="str">
        <f>"FES1162769032"</f>
        <v>FES1162769032</v>
      </c>
      <c r="C1223" s="2" t="s">
        <v>802</v>
      </c>
      <c r="D1223" s="2">
        <v>1</v>
      </c>
      <c r="E1223" s="2" t="str">
        <f>"2170756420"</f>
        <v>2170756420</v>
      </c>
      <c r="F1223" s="2" t="s">
        <v>17</v>
      </c>
      <c r="G1223" s="2" t="s">
        <v>18</v>
      </c>
      <c r="H1223" s="2" t="s">
        <v>18</v>
      </c>
      <c r="I1223" s="2" t="s">
        <v>116</v>
      </c>
      <c r="J1223" s="2" t="s">
        <v>331</v>
      </c>
      <c r="K1223" s="2" t="s">
        <v>1008</v>
      </c>
      <c r="L1223" s="3">
        <v>0.40625</v>
      </c>
      <c r="M1223" s="2" t="s">
        <v>332</v>
      </c>
      <c r="N1223" s="2" t="s">
        <v>500</v>
      </c>
      <c r="O1223" s="2"/>
    </row>
    <row r="1224" spans="1:15" x14ac:dyDescent="0.25">
      <c r="A1224" s="2" t="s">
        <v>15</v>
      </c>
      <c r="B1224" s="2" t="str">
        <f>"FES1162769029"</f>
        <v>FES1162769029</v>
      </c>
      <c r="C1224" s="2" t="s">
        <v>802</v>
      </c>
      <c r="D1224" s="2">
        <v>1</v>
      </c>
      <c r="E1224" s="2" t="str">
        <f>"2170755734"</f>
        <v>2170755734</v>
      </c>
      <c r="F1224" s="2" t="s">
        <v>17</v>
      </c>
      <c r="G1224" s="2" t="s">
        <v>18</v>
      </c>
      <c r="H1224" s="2" t="s">
        <v>88</v>
      </c>
      <c r="I1224" s="2" t="s">
        <v>109</v>
      </c>
      <c r="J1224" s="2" t="s">
        <v>1039</v>
      </c>
      <c r="K1224" s="2" t="s">
        <v>1008</v>
      </c>
      <c r="L1224" s="3">
        <v>0.40625</v>
      </c>
      <c r="M1224" s="2" t="s">
        <v>1095</v>
      </c>
      <c r="N1224" s="2" t="s">
        <v>500</v>
      </c>
      <c r="O1224" s="2"/>
    </row>
    <row r="1225" spans="1:15" x14ac:dyDescent="0.25">
      <c r="A1225" s="2" t="s">
        <v>15</v>
      </c>
      <c r="B1225" s="2" t="str">
        <f>"FES1162768935"</f>
        <v>FES1162768935</v>
      </c>
      <c r="C1225" s="2" t="s">
        <v>802</v>
      </c>
      <c r="D1225" s="2">
        <v>1</v>
      </c>
      <c r="E1225" s="2" t="str">
        <f>"2170756521"</f>
        <v>2170756521</v>
      </c>
      <c r="F1225" s="2" t="s">
        <v>17</v>
      </c>
      <c r="G1225" s="2" t="s">
        <v>18</v>
      </c>
      <c r="H1225" s="2" t="s">
        <v>25</v>
      </c>
      <c r="I1225" s="2" t="s">
        <v>26</v>
      </c>
      <c r="J1225" s="2" t="s">
        <v>474</v>
      </c>
      <c r="K1225" s="2" t="s">
        <v>1008</v>
      </c>
      <c r="L1225" s="3">
        <v>0.41666666666666669</v>
      </c>
      <c r="M1225" s="2" t="s">
        <v>1082</v>
      </c>
      <c r="N1225" s="2" t="s">
        <v>500</v>
      </c>
      <c r="O1225" s="2"/>
    </row>
    <row r="1226" spans="1:15" x14ac:dyDescent="0.25">
      <c r="A1226" s="2" t="s">
        <v>15</v>
      </c>
      <c r="B1226" s="2" t="str">
        <f>"FES1162769013"</f>
        <v>FES1162769013</v>
      </c>
      <c r="C1226" s="2" t="s">
        <v>802</v>
      </c>
      <c r="D1226" s="2">
        <v>1</v>
      </c>
      <c r="E1226" s="2" t="str">
        <f>"2170750375"</f>
        <v>2170750375</v>
      </c>
      <c r="F1226" s="2" t="s">
        <v>17</v>
      </c>
      <c r="G1226" s="2" t="s">
        <v>18</v>
      </c>
      <c r="H1226" s="2" t="s">
        <v>88</v>
      </c>
      <c r="I1226" s="2" t="s">
        <v>109</v>
      </c>
      <c r="J1226" s="2" t="s">
        <v>1039</v>
      </c>
      <c r="K1226" s="2" t="s">
        <v>1008</v>
      </c>
      <c r="L1226" s="3">
        <v>0.40625</v>
      </c>
      <c r="M1226" s="2" t="s">
        <v>1100</v>
      </c>
      <c r="N1226" s="2" t="s">
        <v>500</v>
      </c>
      <c r="O1226" s="2"/>
    </row>
    <row r="1227" spans="1:15" x14ac:dyDescent="0.25">
      <c r="A1227" s="2" t="s">
        <v>15</v>
      </c>
      <c r="B1227" s="2" t="str">
        <f>"FES1162768825"</f>
        <v>FES1162768825</v>
      </c>
      <c r="C1227" s="2" t="s">
        <v>802</v>
      </c>
      <c r="D1227" s="2">
        <v>1</v>
      </c>
      <c r="E1227" s="2" t="str">
        <f>"2170752883"</f>
        <v>2170752883</v>
      </c>
      <c r="F1227" s="2" t="s">
        <v>17</v>
      </c>
      <c r="G1227" s="2" t="s">
        <v>18</v>
      </c>
      <c r="H1227" s="2" t="s">
        <v>88</v>
      </c>
      <c r="I1227" s="2" t="s">
        <v>109</v>
      </c>
      <c r="J1227" s="2" t="s">
        <v>1040</v>
      </c>
      <c r="K1227" s="2" t="s">
        <v>1008</v>
      </c>
      <c r="L1227" s="3">
        <v>0.44097222222222227</v>
      </c>
      <c r="M1227" s="2" t="s">
        <v>1101</v>
      </c>
      <c r="N1227" s="2" t="s">
        <v>500</v>
      </c>
      <c r="O1227" s="2"/>
    </row>
    <row r="1228" spans="1:15" x14ac:dyDescent="0.25">
      <c r="A1228" s="2" t="s">
        <v>15</v>
      </c>
      <c r="B1228" s="2" t="str">
        <f>"FES1162769017"</f>
        <v>FES1162769017</v>
      </c>
      <c r="C1228" s="2" t="s">
        <v>802</v>
      </c>
      <c r="D1228" s="2">
        <v>1</v>
      </c>
      <c r="E1228" s="2" t="str">
        <f>"2170751838"</f>
        <v>2170751838</v>
      </c>
      <c r="F1228" s="2" t="s">
        <v>17</v>
      </c>
      <c r="G1228" s="2" t="s">
        <v>18</v>
      </c>
      <c r="H1228" s="2" t="s">
        <v>88</v>
      </c>
      <c r="I1228" s="2" t="s">
        <v>109</v>
      </c>
      <c r="J1228" s="2" t="s">
        <v>1039</v>
      </c>
      <c r="K1228" s="2" t="s">
        <v>1008</v>
      </c>
      <c r="L1228" s="3">
        <v>0.40625</v>
      </c>
      <c r="M1228" s="2" t="s">
        <v>1095</v>
      </c>
      <c r="N1228" s="2" t="s">
        <v>500</v>
      </c>
      <c r="O1228" s="2"/>
    </row>
    <row r="1229" spans="1:15" x14ac:dyDescent="0.25">
      <c r="A1229" s="2" t="s">
        <v>15</v>
      </c>
      <c r="B1229" s="2" t="str">
        <f>"FES1162768831"</f>
        <v>FES1162768831</v>
      </c>
      <c r="C1229" s="2" t="s">
        <v>802</v>
      </c>
      <c r="D1229" s="2">
        <v>1</v>
      </c>
      <c r="E1229" s="2" t="str">
        <f>"2170753159"</f>
        <v>2170753159</v>
      </c>
      <c r="F1229" s="2" t="s">
        <v>17</v>
      </c>
      <c r="G1229" s="2" t="s">
        <v>18</v>
      </c>
      <c r="H1229" s="2" t="s">
        <v>88</v>
      </c>
      <c r="I1229" s="2" t="s">
        <v>109</v>
      </c>
      <c r="J1229" s="2" t="s">
        <v>141</v>
      </c>
      <c r="K1229" s="2" t="s">
        <v>1008</v>
      </c>
      <c r="L1229" s="3">
        <v>0.3659722222222222</v>
      </c>
      <c r="M1229" s="2" t="s">
        <v>1102</v>
      </c>
      <c r="N1229" s="2" t="s">
        <v>500</v>
      </c>
      <c r="O1229" s="2"/>
    </row>
    <row r="1230" spans="1:15" x14ac:dyDescent="0.25">
      <c r="A1230" s="2" t="s">
        <v>15</v>
      </c>
      <c r="B1230" s="2" t="str">
        <f>"FES1162768792"</f>
        <v>FES1162768792</v>
      </c>
      <c r="C1230" s="2" t="s">
        <v>802</v>
      </c>
      <c r="D1230" s="2">
        <v>1</v>
      </c>
      <c r="E1230" s="2" t="str">
        <f>"2170754350"</f>
        <v>2170754350</v>
      </c>
      <c r="F1230" s="2" t="s">
        <v>17</v>
      </c>
      <c r="G1230" s="2" t="s">
        <v>18</v>
      </c>
      <c r="H1230" s="2" t="s">
        <v>18</v>
      </c>
      <c r="I1230" s="2" t="s">
        <v>63</v>
      </c>
      <c r="J1230" s="2" t="s">
        <v>93</v>
      </c>
      <c r="K1230" s="2" t="s">
        <v>1008</v>
      </c>
      <c r="L1230" s="3">
        <v>0.36319444444444443</v>
      </c>
      <c r="M1230" s="2" t="s">
        <v>736</v>
      </c>
      <c r="N1230" s="2" t="s">
        <v>500</v>
      </c>
      <c r="O1230" s="2"/>
    </row>
    <row r="1231" spans="1:15" x14ac:dyDescent="0.25">
      <c r="A1231" s="2" t="s">
        <v>15</v>
      </c>
      <c r="B1231" s="2" t="str">
        <f>"FES1162768804"</f>
        <v>FES1162768804</v>
      </c>
      <c r="C1231" s="2" t="s">
        <v>802</v>
      </c>
      <c r="D1231" s="2">
        <v>1</v>
      </c>
      <c r="E1231" s="2" t="str">
        <f>"2170754465"</f>
        <v>2170754465</v>
      </c>
      <c r="F1231" s="2" t="s">
        <v>17</v>
      </c>
      <c r="G1231" s="2" t="s">
        <v>18</v>
      </c>
      <c r="H1231" s="2" t="s">
        <v>19</v>
      </c>
      <c r="I1231" s="2" t="s">
        <v>73</v>
      </c>
      <c r="J1231" s="2" t="s">
        <v>76</v>
      </c>
      <c r="K1231" s="2" t="s">
        <v>1008</v>
      </c>
      <c r="L1231" s="3">
        <v>0.35486111111111113</v>
      </c>
      <c r="M1231" s="2" t="s">
        <v>1067</v>
      </c>
      <c r="N1231" s="2" t="s">
        <v>500</v>
      </c>
      <c r="O1231" s="2"/>
    </row>
    <row r="1232" spans="1:15" x14ac:dyDescent="0.25">
      <c r="A1232" s="2" t="s">
        <v>15</v>
      </c>
      <c r="B1232" s="2" t="str">
        <f>"FES1162768798"</f>
        <v>FES1162768798</v>
      </c>
      <c r="C1232" s="2" t="s">
        <v>802</v>
      </c>
      <c r="D1232" s="2">
        <v>1</v>
      </c>
      <c r="E1232" s="2" t="str">
        <f>"2170754411"</f>
        <v>2170754411</v>
      </c>
      <c r="F1232" s="2" t="s">
        <v>17</v>
      </c>
      <c r="G1232" s="2" t="s">
        <v>18</v>
      </c>
      <c r="H1232" s="2" t="s">
        <v>18</v>
      </c>
      <c r="I1232" s="2" t="s">
        <v>63</v>
      </c>
      <c r="J1232" s="2" t="s">
        <v>93</v>
      </c>
      <c r="K1232" s="2" t="s">
        <v>1008</v>
      </c>
      <c r="L1232" s="3">
        <v>0.36388888888888887</v>
      </c>
      <c r="M1232" s="2" t="s">
        <v>736</v>
      </c>
      <c r="N1232" s="2" t="s">
        <v>500</v>
      </c>
      <c r="O1232" s="2"/>
    </row>
    <row r="1233" spans="1:15" x14ac:dyDescent="0.25">
      <c r="A1233" s="2" t="s">
        <v>15</v>
      </c>
      <c r="B1233" s="2" t="str">
        <f>"FES1162769021"</f>
        <v>FES1162769021</v>
      </c>
      <c r="C1233" s="2" t="s">
        <v>802</v>
      </c>
      <c r="D1233" s="2">
        <v>1</v>
      </c>
      <c r="E1233" s="2" t="str">
        <f>"2170752891"</f>
        <v>2170752891</v>
      </c>
      <c r="F1233" s="2" t="s">
        <v>17</v>
      </c>
      <c r="G1233" s="2" t="s">
        <v>18</v>
      </c>
      <c r="H1233" s="2" t="s">
        <v>88</v>
      </c>
      <c r="I1233" s="2" t="s">
        <v>109</v>
      </c>
      <c r="J1233" s="2" t="s">
        <v>1039</v>
      </c>
      <c r="K1233" s="2" t="s">
        <v>1008</v>
      </c>
      <c r="L1233" s="3">
        <v>0.40625</v>
      </c>
      <c r="M1233" s="2" t="s">
        <v>1095</v>
      </c>
      <c r="N1233" s="2" t="s">
        <v>500</v>
      </c>
      <c r="O1233" s="2"/>
    </row>
    <row r="1234" spans="1:15" x14ac:dyDescent="0.25">
      <c r="A1234" s="2" t="s">
        <v>15</v>
      </c>
      <c r="B1234" s="2" t="str">
        <f>"FES1162768736"</f>
        <v>FES1162768736</v>
      </c>
      <c r="C1234" s="2" t="s">
        <v>802</v>
      </c>
      <c r="D1234" s="2">
        <v>2</v>
      </c>
      <c r="E1234" s="2" t="str">
        <f>"2170753868"</f>
        <v>2170753868</v>
      </c>
      <c r="F1234" s="2" t="s">
        <v>205</v>
      </c>
      <c r="G1234" s="2" t="s">
        <v>206</v>
      </c>
      <c r="H1234" s="2" t="s">
        <v>19</v>
      </c>
      <c r="I1234" s="2" t="s">
        <v>20</v>
      </c>
      <c r="J1234" s="2" t="s">
        <v>76</v>
      </c>
      <c r="K1234" s="2" t="s">
        <v>1008</v>
      </c>
      <c r="L1234" s="3">
        <v>0.35486111111111113</v>
      </c>
      <c r="M1234" s="2" t="s">
        <v>1067</v>
      </c>
      <c r="N1234" s="2" t="s">
        <v>500</v>
      </c>
      <c r="O1234" s="2"/>
    </row>
    <row r="1235" spans="1:15" x14ac:dyDescent="0.25">
      <c r="A1235" s="2" t="s">
        <v>15</v>
      </c>
      <c r="B1235" s="2" t="str">
        <f>"FES1162768555"</f>
        <v>FES1162768555</v>
      </c>
      <c r="C1235" s="2" t="s">
        <v>802</v>
      </c>
      <c r="D1235" s="2">
        <v>1</v>
      </c>
      <c r="E1235" s="2" t="str">
        <f>"2170753642"</f>
        <v>2170753642</v>
      </c>
      <c r="F1235" s="2" t="s">
        <v>17</v>
      </c>
      <c r="G1235" s="2" t="s">
        <v>18</v>
      </c>
      <c r="H1235" s="2" t="s">
        <v>18</v>
      </c>
      <c r="I1235" s="2" t="s">
        <v>290</v>
      </c>
      <c r="J1235" s="2" t="s">
        <v>492</v>
      </c>
      <c r="K1235" s="2" t="s">
        <v>1008</v>
      </c>
      <c r="L1235" s="3">
        <v>0.37708333333333338</v>
      </c>
      <c r="M1235" s="2" t="s">
        <v>987</v>
      </c>
      <c r="N1235" s="2" t="s">
        <v>500</v>
      </c>
      <c r="O1235" s="2"/>
    </row>
    <row r="1236" spans="1:15" x14ac:dyDescent="0.25">
      <c r="A1236" s="2" t="s">
        <v>15</v>
      </c>
      <c r="B1236" s="2" t="str">
        <f>"FES1162768730"</f>
        <v>FES1162768730</v>
      </c>
      <c r="C1236" s="2" t="s">
        <v>802</v>
      </c>
      <c r="D1236" s="2">
        <v>1</v>
      </c>
      <c r="E1236" s="2" t="str">
        <f>"2170753799"</f>
        <v>2170753799</v>
      </c>
      <c r="F1236" s="2" t="s">
        <v>17</v>
      </c>
      <c r="G1236" s="2" t="s">
        <v>18</v>
      </c>
      <c r="H1236" s="2" t="s">
        <v>88</v>
      </c>
      <c r="I1236" s="2" t="s">
        <v>109</v>
      </c>
      <c r="J1236" s="2" t="s">
        <v>141</v>
      </c>
      <c r="K1236" s="2" t="s">
        <v>1008</v>
      </c>
      <c r="L1236" s="3">
        <v>0.3659722222222222</v>
      </c>
      <c r="M1236" s="2" t="s">
        <v>1103</v>
      </c>
      <c r="N1236" s="2" t="s">
        <v>500</v>
      </c>
      <c r="O1236" s="2"/>
    </row>
    <row r="1237" spans="1:15" x14ac:dyDescent="0.25">
      <c r="A1237" s="2" t="s">
        <v>15</v>
      </c>
      <c r="B1237" s="2" t="str">
        <f>"FES1162768878"</f>
        <v>FES1162768878</v>
      </c>
      <c r="C1237" s="2" t="s">
        <v>802</v>
      </c>
      <c r="D1237" s="2">
        <v>1</v>
      </c>
      <c r="E1237" s="2" t="str">
        <f>"2170754543"</f>
        <v>2170754543</v>
      </c>
      <c r="F1237" s="2" t="s">
        <v>17</v>
      </c>
      <c r="G1237" s="2" t="s">
        <v>18</v>
      </c>
      <c r="H1237" s="2" t="s">
        <v>18</v>
      </c>
      <c r="I1237" s="2" t="s">
        <v>46</v>
      </c>
      <c r="J1237" s="2" t="s">
        <v>59</v>
      </c>
      <c r="K1237" s="2" t="s">
        <v>1008</v>
      </c>
      <c r="L1237" s="3">
        <v>0.31597222222222221</v>
      </c>
      <c r="M1237" s="2" t="s">
        <v>60</v>
      </c>
      <c r="N1237" s="2" t="s">
        <v>500</v>
      </c>
      <c r="O1237" s="2"/>
    </row>
    <row r="1238" spans="1:15" x14ac:dyDescent="0.25">
      <c r="A1238" s="2" t="s">
        <v>15</v>
      </c>
      <c r="B1238" s="2" t="str">
        <f>"FES1162768718"</f>
        <v>FES1162768718</v>
      </c>
      <c r="C1238" s="2" t="s">
        <v>802</v>
      </c>
      <c r="D1238" s="2">
        <v>1</v>
      </c>
      <c r="E1238" s="2" t="str">
        <f>"2170753660"</f>
        <v>2170753660</v>
      </c>
      <c r="F1238" s="2" t="s">
        <v>17</v>
      </c>
      <c r="G1238" s="2" t="s">
        <v>18</v>
      </c>
      <c r="H1238" s="2" t="s">
        <v>88</v>
      </c>
      <c r="I1238" s="2" t="s">
        <v>109</v>
      </c>
      <c r="J1238" s="2" t="s">
        <v>890</v>
      </c>
      <c r="K1238" s="2" t="s">
        <v>1008</v>
      </c>
      <c r="L1238" s="3">
        <v>0.34375</v>
      </c>
      <c r="M1238" s="2" t="s">
        <v>744</v>
      </c>
      <c r="N1238" s="2" t="s">
        <v>500</v>
      </c>
      <c r="O1238" s="2"/>
    </row>
    <row r="1239" spans="1:15" x14ac:dyDescent="0.25">
      <c r="A1239" s="2" t="s">
        <v>15</v>
      </c>
      <c r="B1239" s="2" t="str">
        <f>"FES1162769051"</f>
        <v>FES1162769051</v>
      </c>
      <c r="C1239" s="2" t="s">
        <v>802</v>
      </c>
      <c r="D1239" s="2">
        <v>1</v>
      </c>
      <c r="E1239" s="2" t="str">
        <f>"2170756738"</f>
        <v>2170756738</v>
      </c>
      <c r="F1239" s="2" t="s">
        <v>17</v>
      </c>
      <c r="G1239" s="2" t="s">
        <v>18</v>
      </c>
      <c r="H1239" s="2" t="s">
        <v>18</v>
      </c>
      <c r="I1239" s="2" t="s">
        <v>105</v>
      </c>
      <c r="J1239" s="2" t="s">
        <v>106</v>
      </c>
      <c r="K1239" s="2" t="s">
        <v>1084</v>
      </c>
      <c r="L1239" s="3">
        <v>0.57430555555555551</v>
      </c>
      <c r="M1239" s="2" t="s">
        <v>502</v>
      </c>
      <c r="N1239" s="2" t="s">
        <v>500</v>
      </c>
      <c r="O1239" s="2"/>
    </row>
    <row r="1240" spans="1:15" x14ac:dyDescent="0.25">
      <c r="A1240" s="2" t="s">
        <v>15</v>
      </c>
      <c r="B1240" s="2" t="str">
        <f>"FES1162768838"</f>
        <v>FES1162768838</v>
      </c>
      <c r="C1240" s="2" t="s">
        <v>802</v>
      </c>
      <c r="D1240" s="2">
        <v>1</v>
      </c>
      <c r="E1240" s="2" t="str">
        <f>"2170754093"</f>
        <v>2170754093</v>
      </c>
      <c r="F1240" s="2" t="s">
        <v>17</v>
      </c>
      <c r="G1240" s="2" t="s">
        <v>18</v>
      </c>
      <c r="H1240" s="2" t="s">
        <v>36</v>
      </c>
      <c r="I1240" s="2" t="s">
        <v>67</v>
      </c>
      <c r="J1240" s="2" t="s">
        <v>312</v>
      </c>
      <c r="K1240" s="2" t="s">
        <v>1008</v>
      </c>
      <c r="L1240" s="3">
        <v>0.40277777777777773</v>
      </c>
      <c r="M1240" s="2" t="s">
        <v>1104</v>
      </c>
      <c r="N1240" s="2" t="s">
        <v>500</v>
      </c>
      <c r="O1240" s="2"/>
    </row>
    <row r="1241" spans="1:15" x14ac:dyDescent="0.25">
      <c r="A1241" s="2" t="s">
        <v>15</v>
      </c>
      <c r="B1241" s="2" t="str">
        <f>"FES1162768876"</f>
        <v>FES1162768876</v>
      </c>
      <c r="C1241" s="2" t="s">
        <v>802</v>
      </c>
      <c r="D1241" s="2">
        <v>1</v>
      </c>
      <c r="E1241" s="2" t="str">
        <f>"2170754463"</f>
        <v>2170754463</v>
      </c>
      <c r="F1241" s="2" t="s">
        <v>17</v>
      </c>
      <c r="G1241" s="2" t="s">
        <v>18</v>
      </c>
      <c r="H1241" s="2" t="s">
        <v>18</v>
      </c>
      <c r="I1241" s="2" t="s">
        <v>63</v>
      </c>
      <c r="J1241" s="2" t="s">
        <v>1041</v>
      </c>
      <c r="K1241" s="2" t="s">
        <v>1008</v>
      </c>
      <c r="L1241" s="3">
        <v>0.42777777777777781</v>
      </c>
      <c r="M1241" s="2" t="s">
        <v>1041</v>
      </c>
      <c r="N1241" s="2" t="s">
        <v>500</v>
      </c>
      <c r="O1241" s="2"/>
    </row>
    <row r="1242" spans="1:15" x14ac:dyDescent="0.25">
      <c r="A1242" s="2" t="s">
        <v>15</v>
      </c>
      <c r="B1242" s="2" t="str">
        <f>"FES1162768572"</f>
        <v>FES1162768572</v>
      </c>
      <c r="C1242" s="2" t="s">
        <v>802</v>
      </c>
      <c r="D1242" s="2">
        <v>1</v>
      </c>
      <c r="E1242" s="2" t="str">
        <f>"2170753951"</f>
        <v>2170753951</v>
      </c>
      <c r="F1242" s="2" t="s">
        <v>17</v>
      </c>
      <c r="G1242" s="2" t="s">
        <v>18</v>
      </c>
      <c r="H1242" s="2" t="s">
        <v>19</v>
      </c>
      <c r="I1242" s="2" t="s">
        <v>114</v>
      </c>
      <c r="J1242" s="2" t="s">
        <v>1042</v>
      </c>
      <c r="K1242" s="2" t="s">
        <v>1008</v>
      </c>
      <c r="L1242" s="3">
        <v>0.4680555555555555</v>
      </c>
      <c r="M1242" s="2" t="s">
        <v>1105</v>
      </c>
      <c r="N1242" s="2" t="s">
        <v>500</v>
      </c>
      <c r="O1242" s="2"/>
    </row>
    <row r="1243" spans="1:15" x14ac:dyDescent="0.25">
      <c r="A1243" s="2" t="s">
        <v>15</v>
      </c>
      <c r="B1243" s="2" t="str">
        <f>"FES1162769033"</f>
        <v>FES1162769033</v>
      </c>
      <c r="C1243" s="2" t="s">
        <v>802</v>
      </c>
      <c r="D1243" s="2">
        <v>1</v>
      </c>
      <c r="E1243" s="2" t="str">
        <f>"2170756421"</f>
        <v>2170756421</v>
      </c>
      <c r="F1243" s="2" t="s">
        <v>17</v>
      </c>
      <c r="G1243" s="2" t="s">
        <v>18</v>
      </c>
      <c r="H1243" s="2" t="s">
        <v>78</v>
      </c>
      <c r="I1243" s="2" t="s">
        <v>159</v>
      </c>
      <c r="J1243" s="2" t="s">
        <v>160</v>
      </c>
      <c r="K1243" s="2" t="s">
        <v>1008</v>
      </c>
      <c r="L1243" s="3">
        <v>0.52777777777777779</v>
      </c>
      <c r="M1243" s="2" t="s">
        <v>1106</v>
      </c>
      <c r="N1243" s="2" t="s">
        <v>500</v>
      </c>
      <c r="O1243" s="2"/>
    </row>
    <row r="1244" spans="1:15" x14ac:dyDescent="0.25">
      <c r="A1244" s="2" t="s">
        <v>15</v>
      </c>
      <c r="B1244" s="2" t="str">
        <f>"FES1162768481"</f>
        <v>FES1162768481</v>
      </c>
      <c r="C1244" s="2" t="s">
        <v>802</v>
      </c>
      <c r="D1244" s="2">
        <v>1</v>
      </c>
      <c r="E1244" s="2" t="str">
        <f>"2170753194"</f>
        <v>2170753194</v>
      </c>
      <c r="F1244" s="2" t="s">
        <v>17</v>
      </c>
      <c r="G1244" s="2" t="s">
        <v>18</v>
      </c>
      <c r="H1244" s="2" t="s">
        <v>36</v>
      </c>
      <c r="I1244" s="2" t="s">
        <v>37</v>
      </c>
      <c r="J1244" s="2" t="s">
        <v>162</v>
      </c>
      <c r="K1244" s="2" t="s">
        <v>1008</v>
      </c>
      <c r="L1244" s="3">
        <v>0.33333333333333331</v>
      </c>
      <c r="M1244" s="2" t="s">
        <v>1099</v>
      </c>
      <c r="N1244" s="2" t="s">
        <v>500</v>
      </c>
      <c r="O1244" s="2"/>
    </row>
    <row r="1245" spans="1:15" x14ac:dyDescent="0.25">
      <c r="A1245" s="2" t="s">
        <v>15</v>
      </c>
      <c r="B1245" s="2" t="str">
        <f>"FES1162769028"</f>
        <v>FES1162769028</v>
      </c>
      <c r="C1245" s="2" t="s">
        <v>802</v>
      </c>
      <c r="D1245" s="2">
        <v>1</v>
      </c>
      <c r="E1245" s="2" t="str">
        <f>"2170755630"</f>
        <v>2170755630</v>
      </c>
      <c r="F1245" s="2" t="s">
        <v>17</v>
      </c>
      <c r="G1245" s="2" t="s">
        <v>18</v>
      </c>
      <c r="H1245" s="2" t="s">
        <v>36</v>
      </c>
      <c r="I1245" s="2" t="s">
        <v>37</v>
      </c>
      <c r="J1245" s="2" t="s">
        <v>378</v>
      </c>
      <c r="K1245" s="2" t="s">
        <v>1008</v>
      </c>
      <c r="L1245" s="3">
        <v>0.43263888888888885</v>
      </c>
      <c r="M1245" s="2" t="s">
        <v>379</v>
      </c>
      <c r="N1245" s="2" t="s">
        <v>500</v>
      </c>
      <c r="O1245" s="2"/>
    </row>
    <row r="1246" spans="1:15" x14ac:dyDescent="0.25">
      <c r="A1246" s="2" t="s">
        <v>15</v>
      </c>
      <c r="B1246" s="2" t="str">
        <f>"FES1162769040"</f>
        <v>FES1162769040</v>
      </c>
      <c r="C1246" s="2" t="s">
        <v>802</v>
      </c>
      <c r="D1246" s="2">
        <v>1</v>
      </c>
      <c r="E1246" s="2" t="str">
        <f>"2170754880"</f>
        <v>2170754880</v>
      </c>
      <c r="F1246" s="2" t="s">
        <v>17</v>
      </c>
      <c r="G1246" s="2" t="s">
        <v>18</v>
      </c>
      <c r="H1246" s="2" t="s">
        <v>36</v>
      </c>
      <c r="I1246" s="2" t="s">
        <v>37</v>
      </c>
      <c r="J1246" s="2" t="s">
        <v>104</v>
      </c>
      <c r="K1246" s="2" t="s">
        <v>1008</v>
      </c>
      <c r="L1246" s="3">
        <v>0.41666666666666669</v>
      </c>
      <c r="M1246" s="2" t="s">
        <v>221</v>
      </c>
      <c r="N1246" s="2" t="s">
        <v>500</v>
      </c>
      <c r="O1246" s="2"/>
    </row>
    <row r="1247" spans="1:15" x14ac:dyDescent="0.25">
      <c r="A1247" s="2" t="s">
        <v>15</v>
      </c>
      <c r="B1247" s="2" t="str">
        <f>"FES1162768851"</f>
        <v>FES1162768851</v>
      </c>
      <c r="C1247" s="2" t="s">
        <v>802</v>
      </c>
      <c r="D1247" s="2">
        <v>1</v>
      </c>
      <c r="E1247" s="2" t="str">
        <f>"2170754178"</f>
        <v>2170754178</v>
      </c>
      <c r="F1247" s="2" t="s">
        <v>17</v>
      </c>
      <c r="G1247" s="2" t="s">
        <v>18</v>
      </c>
      <c r="H1247" s="2" t="s">
        <v>36</v>
      </c>
      <c r="I1247" s="2" t="s">
        <v>37</v>
      </c>
      <c r="J1247" s="2" t="s">
        <v>38</v>
      </c>
      <c r="K1247" s="2" t="s">
        <v>1008</v>
      </c>
      <c r="L1247" s="3">
        <v>0.37847222222222227</v>
      </c>
      <c r="M1247" s="2" t="s">
        <v>1107</v>
      </c>
      <c r="N1247" s="2" t="s">
        <v>500</v>
      </c>
      <c r="O1247" s="2"/>
    </row>
    <row r="1248" spans="1:15" x14ac:dyDescent="0.25">
      <c r="A1248" s="2" t="s">
        <v>15</v>
      </c>
      <c r="B1248" s="2" t="str">
        <f>"FES1162768635"</f>
        <v>FES1162768635</v>
      </c>
      <c r="C1248" s="2" t="s">
        <v>802</v>
      </c>
      <c r="D1248" s="2">
        <v>1</v>
      </c>
      <c r="E1248" s="2" t="str">
        <f>"2170753347"</f>
        <v>2170753347</v>
      </c>
      <c r="F1248" s="2" t="s">
        <v>17</v>
      </c>
      <c r="G1248" s="2" t="s">
        <v>18</v>
      </c>
      <c r="H1248" s="2" t="s">
        <v>36</v>
      </c>
      <c r="I1248" s="2" t="s">
        <v>37</v>
      </c>
      <c r="J1248" s="2" t="s">
        <v>646</v>
      </c>
      <c r="K1248" s="2" t="s">
        <v>1008</v>
      </c>
      <c r="L1248" s="3">
        <v>0.3576388888888889</v>
      </c>
      <c r="M1248" s="2" t="s">
        <v>1108</v>
      </c>
      <c r="N1248" s="2" t="s">
        <v>500</v>
      </c>
      <c r="O1248" s="2"/>
    </row>
    <row r="1249" spans="1:15" x14ac:dyDescent="0.25">
      <c r="A1249" s="2" t="s">
        <v>15</v>
      </c>
      <c r="B1249" s="2" t="str">
        <f>"FES1162768479"</f>
        <v>FES1162768479</v>
      </c>
      <c r="C1249" s="2" t="s">
        <v>802</v>
      </c>
      <c r="D1249" s="2">
        <v>1</v>
      </c>
      <c r="E1249" s="2" t="str">
        <f>"2170752201"</f>
        <v>2170752201</v>
      </c>
      <c r="F1249" s="2" t="s">
        <v>17</v>
      </c>
      <c r="G1249" s="2" t="s">
        <v>18</v>
      </c>
      <c r="H1249" s="2" t="s">
        <v>36</v>
      </c>
      <c r="I1249" s="2" t="s">
        <v>37</v>
      </c>
      <c r="J1249" s="2" t="s">
        <v>403</v>
      </c>
      <c r="K1249" s="2" t="s">
        <v>1008</v>
      </c>
      <c r="L1249" s="3">
        <v>0.59722222222222221</v>
      </c>
      <c r="M1249" s="2" t="s">
        <v>1109</v>
      </c>
      <c r="N1249" s="2" t="s">
        <v>500</v>
      </c>
      <c r="O1249" s="2"/>
    </row>
    <row r="1250" spans="1:15" x14ac:dyDescent="0.25">
      <c r="A1250" s="2" t="s">
        <v>15</v>
      </c>
      <c r="B1250" s="2" t="str">
        <f>"FES1162768567"</f>
        <v>FES1162768567</v>
      </c>
      <c r="C1250" s="2" t="s">
        <v>802</v>
      </c>
      <c r="D1250" s="2">
        <v>1</v>
      </c>
      <c r="E1250" s="2" t="str">
        <f>"2170753910"</f>
        <v>2170753910</v>
      </c>
      <c r="F1250" s="2" t="s">
        <v>17</v>
      </c>
      <c r="G1250" s="2" t="s">
        <v>18</v>
      </c>
      <c r="H1250" s="2" t="s">
        <v>19</v>
      </c>
      <c r="I1250" s="2" t="s">
        <v>20</v>
      </c>
      <c r="J1250" s="2" t="s">
        <v>1043</v>
      </c>
      <c r="K1250" s="2" t="s">
        <v>1008</v>
      </c>
      <c r="L1250" s="3">
        <v>0.44861111111111113</v>
      </c>
      <c r="M1250" s="2" t="s">
        <v>1110</v>
      </c>
      <c r="N1250" s="2" t="s">
        <v>500</v>
      </c>
      <c r="O1250" s="2"/>
    </row>
    <row r="1251" spans="1:15" x14ac:dyDescent="0.25">
      <c r="A1251" s="2" t="s">
        <v>15</v>
      </c>
      <c r="B1251" s="2" t="str">
        <f>"FES1162768552"</f>
        <v>FES1162768552</v>
      </c>
      <c r="C1251" s="2" t="s">
        <v>802</v>
      </c>
      <c r="D1251" s="2">
        <v>1</v>
      </c>
      <c r="E1251" s="2" t="str">
        <f>"2170753065"</f>
        <v>2170753065</v>
      </c>
      <c r="F1251" s="2" t="s">
        <v>17</v>
      </c>
      <c r="G1251" s="2" t="s">
        <v>18</v>
      </c>
      <c r="H1251" s="2" t="s">
        <v>36</v>
      </c>
      <c r="I1251" s="2" t="s">
        <v>67</v>
      </c>
      <c r="J1251" s="2" t="s">
        <v>780</v>
      </c>
      <c r="K1251" s="2" t="s">
        <v>1008</v>
      </c>
      <c r="L1251" s="3">
        <v>0.4284722222222222</v>
      </c>
      <c r="M1251" s="2" t="s">
        <v>1111</v>
      </c>
      <c r="N1251" s="2" t="s">
        <v>500</v>
      </c>
      <c r="O1251" s="2"/>
    </row>
    <row r="1252" spans="1:15" x14ac:dyDescent="0.25">
      <c r="A1252" s="2" t="s">
        <v>15</v>
      </c>
      <c r="B1252" s="2" t="str">
        <f>"FES1162768870"</f>
        <v>FES1162768870</v>
      </c>
      <c r="C1252" s="2" t="s">
        <v>802</v>
      </c>
      <c r="D1252" s="2">
        <v>1</v>
      </c>
      <c r="E1252" s="2" t="str">
        <f>"2170754291"</f>
        <v>2170754291</v>
      </c>
      <c r="F1252" s="2" t="s">
        <v>17</v>
      </c>
      <c r="G1252" s="2" t="s">
        <v>18</v>
      </c>
      <c r="H1252" s="2" t="s">
        <v>36</v>
      </c>
      <c r="I1252" s="2" t="s">
        <v>37</v>
      </c>
      <c r="J1252" s="2" t="s">
        <v>104</v>
      </c>
      <c r="K1252" s="2" t="s">
        <v>1008</v>
      </c>
      <c r="L1252" s="3">
        <v>0.41666666666666669</v>
      </c>
      <c r="M1252" s="2" t="s">
        <v>221</v>
      </c>
      <c r="N1252" s="2" t="s">
        <v>500</v>
      </c>
      <c r="O1252" s="2"/>
    </row>
    <row r="1253" spans="1:15" x14ac:dyDescent="0.25">
      <c r="A1253" s="2" t="s">
        <v>15</v>
      </c>
      <c r="B1253" s="2" t="str">
        <f>"FES1162768814"</f>
        <v>FES1162768814</v>
      </c>
      <c r="C1253" s="2" t="s">
        <v>802</v>
      </c>
      <c r="D1253" s="2">
        <v>1</v>
      </c>
      <c r="E1253" s="2" t="str">
        <f>"2170756060"</f>
        <v>2170756060</v>
      </c>
      <c r="F1253" s="2" t="s">
        <v>17</v>
      </c>
      <c r="G1253" s="2" t="s">
        <v>18</v>
      </c>
      <c r="H1253" s="2" t="s">
        <v>36</v>
      </c>
      <c r="I1253" s="2" t="s">
        <v>134</v>
      </c>
      <c r="J1253" s="2" t="s">
        <v>135</v>
      </c>
      <c r="K1253" s="2" t="s">
        <v>1008</v>
      </c>
      <c r="L1253" s="3">
        <v>0.61805555555555558</v>
      </c>
      <c r="M1253" s="2" t="s">
        <v>1055</v>
      </c>
      <c r="N1253" s="2" t="s">
        <v>500</v>
      </c>
      <c r="O1253" s="2"/>
    </row>
    <row r="1254" spans="1:15" x14ac:dyDescent="0.25">
      <c r="A1254" s="2" t="s">
        <v>15</v>
      </c>
      <c r="B1254" s="2" t="str">
        <f>"FES1162769041"</f>
        <v>FES1162769041</v>
      </c>
      <c r="C1254" s="2" t="s">
        <v>802</v>
      </c>
      <c r="D1254" s="2">
        <v>1</v>
      </c>
      <c r="E1254" s="2" t="str">
        <f>"2170755019"</f>
        <v>2170755019</v>
      </c>
      <c r="F1254" s="2" t="s">
        <v>17</v>
      </c>
      <c r="G1254" s="2" t="s">
        <v>18</v>
      </c>
      <c r="H1254" s="2" t="s">
        <v>36</v>
      </c>
      <c r="I1254" s="2" t="s">
        <v>37</v>
      </c>
      <c r="J1254" s="2" t="s">
        <v>104</v>
      </c>
      <c r="K1254" s="2" t="s">
        <v>1008</v>
      </c>
      <c r="L1254" s="3">
        <v>0.41666666666666669</v>
      </c>
      <c r="M1254" s="2" t="s">
        <v>221</v>
      </c>
      <c r="N1254" s="2" t="s">
        <v>500</v>
      </c>
      <c r="O1254" s="2"/>
    </row>
    <row r="1255" spans="1:15" x14ac:dyDescent="0.25">
      <c r="A1255" s="2" t="s">
        <v>15</v>
      </c>
      <c r="B1255" s="2" t="str">
        <f>"FES1162768886"</f>
        <v>FES1162768886</v>
      </c>
      <c r="C1255" s="2" t="s">
        <v>802</v>
      </c>
      <c r="D1255" s="2">
        <v>1</v>
      </c>
      <c r="E1255" s="2" t="str">
        <f>"2170755204"</f>
        <v>2170755204</v>
      </c>
      <c r="F1255" s="2" t="s">
        <v>17</v>
      </c>
      <c r="G1255" s="2" t="s">
        <v>18</v>
      </c>
      <c r="H1255" s="2" t="s">
        <v>25</v>
      </c>
      <c r="I1255" s="2" t="s">
        <v>125</v>
      </c>
      <c r="J1255" s="2" t="s">
        <v>126</v>
      </c>
      <c r="K1255" s="2" t="s">
        <v>1008</v>
      </c>
      <c r="L1255" s="3">
        <v>0.4375</v>
      </c>
      <c r="M1255" s="2" t="s">
        <v>235</v>
      </c>
      <c r="N1255" s="2" t="s">
        <v>500</v>
      </c>
      <c r="O1255" s="2"/>
    </row>
    <row r="1256" spans="1:15" x14ac:dyDescent="0.25">
      <c r="A1256" s="2" t="s">
        <v>15</v>
      </c>
      <c r="B1256" s="2" t="str">
        <f>"FES1162769027"</f>
        <v>FES1162769027</v>
      </c>
      <c r="C1256" s="2" t="s">
        <v>802</v>
      </c>
      <c r="D1256" s="2">
        <v>1</v>
      </c>
      <c r="E1256" s="2" t="str">
        <f>"2170755416"</f>
        <v>2170755416</v>
      </c>
      <c r="F1256" s="2" t="s">
        <v>17</v>
      </c>
      <c r="G1256" s="2" t="s">
        <v>18</v>
      </c>
      <c r="H1256" s="2" t="s">
        <v>19</v>
      </c>
      <c r="I1256" s="2" t="s">
        <v>73</v>
      </c>
      <c r="J1256" s="2" t="s">
        <v>74</v>
      </c>
      <c r="K1256" s="2" t="s">
        <v>1008</v>
      </c>
      <c r="L1256" s="3">
        <v>0.37638888888888888</v>
      </c>
      <c r="M1256" s="2" t="s">
        <v>195</v>
      </c>
      <c r="N1256" s="2" t="s">
        <v>500</v>
      </c>
      <c r="O1256" s="2"/>
    </row>
    <row r="1257" spans="1:15" x14ac:dyDescent="0.25">
      <c r="A1257" s="2" t="s">
        <v>15</v>
      </c>
      <c r="B1257" s="2" t="str">
        <f>"FES1162768541"</f>
        <v>FES1162768541</v>
      </c>
      <c r="C1257" s="2" t="s">
        <v>802</v>
      </c>
      <c r="D1257" s="2">
        <v>1</v>
      </c>
      <c r="E1257" s="2" t="str">
        <f>"2170754671"</f>
        <v>2170754671</v>
      </c>
      <c r="F1257" s="2" t="s">
        <v>17</v>
      </c>
      <c r="G1257" s="2" t="s">
        <v>18</v>
      </c>
      <c r="H1257" s="2" t="s">
        <v>18</v>
      </c>
      <c r="I1257" s="2" t="s">
        <v>116</v>
      </c>
      <c r="J1257" s="2" t="s">
        <v>117</v>
      </c>
      <c r="K1257" s="2" t="s">
        <v>1008</v>
      </c>
      <c r="L1257" s="3">
        <v>0.43541666666666662</v>
      </c>
      <c r="M1257" s="2" t="s">
        <v>228</v>
      </c>
      <c r="N1257" s="2" t="s">
        <v>500</v>
      </c>
      <c r="O1257" s="2"/>
    </row>
    <row r="1258" spans="1:15" x14ac:dyDescent="0.25">
      <c r="A1258" s="2" t="s">
        <v>15</v>
      </c>
      <c r="B1258" s="2" t="str">
        <f>"FES1162768968"</f>
        <v>FES1162768968</v>
      </c>
      <c r="C1258" s="2" t="s">
        <v>802</v>
      </c>
      <c r="D1258" s="2">
        <v>1</v>
      </c>
      <c r="E1258" s="2" t="str">
        <f>"2170756488"</f>
        <v>2170756488</v>
      </c>
      <c r="F1258" s="2" t="s">
        <v>17</v>
      </c>
      <c r="G1258" s="2" t="s">
        <v>18</v>
      </c>
      <c r="H1258" s="2" t="s">
        <v>88</v>
      </c>
      <c r="I1258" s="2" t="s">
        <v>109</v>
      </c>
      <c r="J1258" s="2" t="s">
        <v>452</v>
      </c>
      <c r="K1258" s="2" t="s">
        <v>1008</v>
      </c>
      <c r="L1258" s="3">
        <v>0.47291666666666665</v>
      </c>
      <c r="M1258" s="2" t="s">
        <v>350</v>
      </c>
      <c r="N1258" s="2" t="s">
        <v>500</v>
      </c>
      <c r="O1258" s="2"/>
    </row>
    <row r="1259" spans="1:15" x14ac:dyDescent="0.25">
      <c r="A1259" s="2" t="s">
        <v>15</v>
      </c>
      <c r="B1259" s="2" t="str">
        <f>"FES1162768802"</f>
        <v>FES1162768802</v>
      </c>
      <c r="C1259" s="2" t="s">
        <v>802</v>
      </c>
      <c r="D1259" s="2">
        <v>1</v>
      </c>
      <c r="E1259" s="2" t="str">
        <f>"2170754432"</f>
        <v>2170754432</v>
      </c>
      <c r="F1259" s="2" t="s">
        <v>17</v>
      </c>
      <c r="G1259" s="2" t="s">
        <v>18</v>
      </c>
      <c r="H1259" s="2" t="s">
        <v>25</v>
      </c>
      <c r="I1259" s="2" t="s">
        <v>26</v>
      </c>
      <c r="J1259" s="2" t="s">
        <v>474</v>
      </c>
      <c r="K1259" s="2" t="s">
        <v>1008</v>
      </c>
      <c r="L1259" s="3">
        <v>0.41666666666666669</v>
      </c>
      <c r="M1259" s="2" t="s">
        <v>1060</v>
      </c>
      <c r="N1259" s="2" t="s">
        <v>500</v>
      </c>
      <c r="O1259" s="2"/>
    </row>
    <row r="1260" spans="1:15" x14ac:dyDescent="0.25">
      <c r="A1260" s="2" t="s">
        <v>15</v>
      </c>
      <c r="B1260" s="2" t="str">
        <f>"FES1162768797"</f>
        <v>FES1162768797</v>
      </c>
      <c r="C1260" s="2" t="s">
        <v>802</v>
      </c>
      <c r="D1260" s="2">
        <v>1</v>
      </c>
      <c r="E1260" s="2" t="str">
        <f>"2170754410"</f>
        <v>2170754410</v>
      </c>
      <c r="F1260" s="2" t="s">
        <v>17</v>
      </c>
      <c r="G1260" s="2" t="s">
        <v>18</v>
      </c>
      <c r="H1260" s="2" t="s">
        <v>18</v>
      </c>
      <c r="I1260" s="2" t="s">
        <v>329</v>
      </c>
      <c r="J1260" s="2" t="s">
        <v>1044</v>
      </c>
      <c r="K1260" s="2" t="s">
        <v>1008</v>
      </c>
      <c r="L1260" s="3">
        <v>0.41666666666666669</v>
      </c>
      <c r="M1260" s="2" t="s">
        <v>1112</v>
      </c>
      <c r="N1260" s="2" t="s">
        <v>500</v>
      </c>
      <c r="O1260" s="2"/>
    </row>
    <row r="1261" spans="1:15" x14ac:dyDescent="0.25">
      <c r="A1261" s="2" t="s">
        <v>15</v>
      </c>
      <c r="B1261" s="2" t="str">
        <f>"FES1162768727"</f>
        <v>FES1162768727</v>
      </c>
      <c r="C1261" s="2" t="s">
        <v>802</v>
      </c>
      <c r="D1261" s="2">
        <v>1</v>
      </c>
      <c r="E1261" s="2" t="str">
        <f>"2170753761"</f>
        <v>2170753761</v>
      </c>
      <c r="F1261" s="2" t="s">
        <v>17</v>
      </c>
      <c r="G1261" s="2" t="s">
        <v>18</v>
      </c>
      <c r="H1261" s="2" t="s">
        <v>25</v>
      </c>
      <c r="I1261" s="2" t="s">
        <v>26</v>
      </c>
      <c r="J1261" s="2" t="s">
        <v>75</v>
      </c>
      <c r="K1261" s="2" t="s">
        <v>1008</v>
      </c>
      <c r="L1261" s="3">
        <v>0.33402777777777781</v>
      </c>
      <c r="M1261" s="2" t="s">
        <v>518</v>
      </c>
      <c r="N1261" s="2" t="s">
        <v>500</v>
      </c>
      <c r="O1261" s="2"/>
    </row>
    <row r="1262" spans="1:15" x14ac:dyDescent="0.25">
      <c r="A1262" s="2" t="s">
        <v>15</v>
      </c>
      <c r="B1262" s="2" t="str">
        <f>"FES1162769018"</f>
        <v>FES1162769018</v>
      </c>
      <c r="C1262" s="2" t="s">
        <v>802</v>
      </c>
      <c r="D1262" s="2">
        <v>1</v>
      </c>
      <c r="E1262" s="2" t="str">
        <f>"2170752230"</f>
        <v>2170752230</v>
      </c>
      <c r="F1262" s="2" t="s">
        <v>17</v>
      </c>
      <c r="G1262" s="2" t="s">
        <v>18</v>
      </c>
      <c r="H1262" s="2" t="s">
        <v>88</v>
      </c>
      <c r="I1262" s="2" t="s">
        <v>109</v>
      </c>
      <c r="J1262" s="2" t="s">
        <v>1039</v>
      </c>
      <c r="K1262" s="2" t="s">
        <v>1008</v>
      </c>
      <c r="L1262" s="3">
        <v>0.40625</v>
      </c>
      <c r="M1262" s="2" t="s">
        <v>1095</v>
      </c>
      <c r="N1262" s="2" t="s">
        <v>500</v>
      </c>
      <c r="O1262" s="2"/>
    </row>
    <row r="1263" spans="1:15" x14ac:dyDescent="0.25">
      <c r="A1263" s="2" t="s">
        <v>15</v>
      </c>
      <c r="B1263" s="2" t="str">
        <f>"FES1162768787"</f>
        <v>FES1162768787</v>
      </c>
      <c r="C1263" s="2" t="s">
        <v>802</v>
      </c>
      <c r="D1263" s="2">
        <v>1</v>
      </c>
      <c r="E1263" s="2" t="str">
        <f>"2170754200"</f>
        <v>2170754200</v>
      </c>
      <c r="F1263" s="2" t="s">
        <v>17</v>
      </c>
      <c r="G1263" s="2" t="s">
        <v>18</v>
      </c>
      <c r="H1263" s="2" t="s">
        <v>25</v>
      </c>
      <c r="I1263" s="2" t="s">
        <v>26</v>
      </c>
      <c r="J1263" s="2" t="s">
        <v>44</v>
      </c>
      <c r="K1263" s="2" t="s">
        <v>1008</v>
      </c>
      <c r="L1263" s="3">
        <v>0.40833333333333338</v>
      </c>
      <c r="M1263" s="2" t="s">
        <v>181</v>
      </c>
      <c r="N1263" s="2" t="s">
        <v>500</v>
      </c>
      <c r="O1263" s="2"/>
    </row>
    <row r="1264" spans="1:15" x14ac:dyDescent="0.25">
      <c r="A1264" s="2" t="s">
        <v>15</v>
      </c>
      <c r="B1264" s="2" t="str">
        <f>"FES1162769022"</f>
        <v>FES1162769022</v>
      </c>
      <c r="C1264" s="2" t="s">
        <v>802</v>
      </c>
      <c r="D1264" s="2">
        <v>1</v>
      </c>
      <c r="E1264" s="2" t="str">
        <f>"2170754247"</f>
        <v>2170754247</v>
      </c>
      <c r="F1264" s="2" t="s">
        <v>17</v>
      </c>
      <c r="G1264" s="2" t="s">
        <v>18</v>
      </c>
      <c r="H1264" s="2" t="s">
        <v>25</v>
      </c>
      <c r="I1264" s="2" t="s">
        <v>26</v>
      </c>
      <c r="J1264" s="2" t="s">
        <v>422</v>
      </c>
      <c r="K1264" s="2" t="s">
        <v>1008</v>
      </c>
      <c r="L1264" s="3">
        <v>0.38958333333333334</v>
      </c>
      <c r="M1264" s="2" t="s">
        <v>813</v>
      </c>
      <c r="N1264" s="2" t="s">
        <v>500</v>
      </c>
      <c r="O1264" s="2"/>
    </row>
    <row r="1265" spans="1:15" x14ac:dyDescent="0.25">
      <c r="A1265" s="2" t="s">
        <v>15</v>
      </c>
      <c r="B1265" s="2" t="str">
        <f>"FES1162768563"</f>
        <v>FES1162768563</v>
      </c>
      <c r="C1265" s="2" t="s">
        <v>802</v>
      </c>
      <c r="D1265" s="2">
        <v>1</v>
      </c>
      <c r="E1265" s="2" t="str">
        <f>"2170753867"</f>
        <v>2170753867</v>
      </c>
      <c r="F1265" s="2" t="s">
        <v>17</v>
      </c>
      <c r="G1265" s="2" t="s">
        <v>18</v>
      </c>
      <c r="H1265" s="2" t="s">
        <v>19</v>
      </c>
      <c r="I1265" s="2" t="s">
        <v>73</v>
      </c>
      <c r="J1265" s="2" t="s">
        <v>76</v>
      </c>
      <c r="K1265" s="2" t="s">
        <v>1008</v>
      </c>
      <c r="L1265" s="3">
        <v>0.58888888888888891</v>
      </c>
      <c r="M1265" s="2" t="s">
        <v>197</v>
      </c>
      <c r="N1265" s="2" t="s">
        <v>500</v>
      </c>
      <c r="O1265" s="2"/>
    </row>
    <row r="1266" spans="1:15" x14ac:dyDescent="0.25">
      <c r="A1266" s="2" t="s">
        <v>15</v>
      </c>
      <c r="B1266" s="2" t="str">
        <f>"FES1162768487"</f>
        <v>FES1162768487</v>
      </c>
      <c r="C1266" s="2" t="s">
        <v>802</v>
      </c>
      <c r="D1266" s="2">
        <v>1</v>
      </c>
      <c r="E1266" s="2" t="str">
        <f>"2170753868"</f>
        <v>2170753868</v>
      </c>
      <c r="F1266" s="2" t="s">
        <v>17</v>
      </c>
      <c r="G1266" s="2" t="s">
        <v>18</v>
      </c>
      <c r="H1266" s="2" t="s">
        <v>19</v>
      </c>
      <c r="I1266" s="2" t="s">
        <v>73</v>
      </c>
      <c r="J1266" s="2" t="s">
        <v>76</v>
      </c>
      <c r="K1266" s="2" t="s">
        <v>1008</v>
      </c>
      <c r="L1266" s="3">
        <v>0.35486111111111113</v>
      </c>
      <c r="M1266" s="2" t="s">
        <v>1067</v>
      </c>
      <c r="N1266" s="2" t="s">
        <v>500</v>
      </c>
      <c r="O1266" s="2"/>
    </row>
    <row r="1267" spans="1:15" x14ac:dyDescent="0.25">
      <c r="A1267" s="2" t="s">
        <v>15</v>
      </c>
      <c r="B1267" s="2" t="str">
        <f>"FES1162768776"</f>
        <v>FES1162768776</v>
      </c>
      <c r="C1267" s="2" t="s">
        <v>802</v>
      </c>
      <c r="D1267" s="2">
        <v>1</v>
      </c>
      <c r="E1267" s="2" t="str">
        <f>"2170752663"</f>
        <v>2170752663</v>
      </c>
      <c r="F1267" s="2" t="s">
        <v>17</v>
      </c>
      <c r="G1267" s="2" t="s">
        <v>18</v>
      </c>
      <c r="H1267" s="2" t="s">
        <v>25</v>
      </c>
      <c r="I1267" s="2" t="s">
        <v>26</v>
      </c>
      <c r="J1267" s="2" t="s">
        <v>1020</v>
      </c>
      <c r="K1267" s="2" t="s">
        <v>1008</v>
      </c>
      <c r="L1267" s="3">
        <v>0.4597222222222222</v>
      </c>
      <c r="M1267" s="2" t="s">
        <v>1071</v>
      </c>
      <c r="N1267" s="2" t="s">
        <v>500</v>
      </c>
      <c r="O1267" s="2"/>
    </row>
    <row r="1268" spans="1:15" x14ac:dyDescent="0.25">
      <c r="A1268" s="2" t="s">
        <v>15</v>
      </c>
      <c r="B1268" s="2" t="str">
        <f>"FES1162768714"</f>
        <v>FES1162768714</v>
      </c>
      <c r="C1268" s="2" t="s">
        <v>802</v>
      </c>
      <c r="D1268" s="2">
        <v>1</v>
      </c>
      <c r="E1268" s="2" t="str">
        <f>"2170752201"</f>
        <v>2170752201</v>
      </c>
      <c r="F1268" s="2" t="s">
        <v>17</v>
      </c>
      <c r="G1268" s="2" t="s">
        <v>18</v>
      </c>
      <c r="H1268" s="2" t="s">
        <v>36</v>
      </c>
      <c r="I1268" s="2" t="s">
        <v>37</v>
      </c>
      <c r="J1268" s="2" t="s">
        <v>403</v>
      </c>
      <c r="K1268" s="2" t="s">
        <v>1008</v>
      </c>
      <c r="L1268" s="3">
        <v>0.63124999999999998</v>
      </c>
      <c r="M1268" s="2" t="s">
        <v>1109</v>
      </c>
      <c r="N1268" s="2" t="s">
        <v>500</v>
      </c>
      <c r="O1268" s="2"/>
    </row>
    <row r="1269" spans="1:15" x14ac:dyDescent="0.25">
      <c r="A1269" s="2" t="s">
        <v>15</v>
      </c>
      <c r="B1269" s="2" t="str">
        <f>"FES1162768768"</f>
        <v>FES1162768768</v>
      </c>
      <c r="C1269" s="2" t="s">
        <v>802</v>
      </c>
      <c r="D1269" s="2">
        <v>1</v>
      </c>
      <c r="E1269" s="2" t="str">
        <f>"2170748994"</f>
        <v>2170748994</v>
      </c>
      <c r="F1269" s="2" t="s">
        <v>17</v>
      </c>
      <c r="G1269" s="2" t="s">
        <v>18</v>
      </c>
      <c r="H1269" s="2" t="s">
        <v>25</v>
      </c>
      <c r="I1269" s="2" t="s">
        <v>42</v>
      </c>
      <c r="J1269" s="2" t="s">
        <v>43</v>
      </c>
      <c r="K1269" s="2" t="s">
        <v>1008</v>
      </c>
      <c r="L1269" s="3">
        <v>0.54166666666666663</v>
      </c>
      <c r="M1269" s="2" t="s">
        <v>1081</v>
      </c>
      <c r="N1269" s="2" t="s">
        <v>500</v>
      </c>
      <c r="O1269" s="2"/>
    </row>
    <row r="1270" spans="1:15" x14ac:dyDescent="0.25">
      <c r="A1270" s="2" t="s">
        <v>15</v>
      </c>
      <c r="B1270" s="2" t="str">
        <f>"FES1162768815"</f>
        <v>FES1162768815</v>
      </c>
      <c r="C1270" s="2" t="s">
        <v>802</v>
      </c>
      <c r="D1270" s="2">
        <v>1</v>
      </c>
      <c r="E1270" s="2" t="str">
        <f>"2170756165"</f>
        <v>2170756165</v>
      </c>
      <c r="F1270" s="2" t="s">
        <v>17</v>
      </c>
      <c r="G1270" s="2" t="s">
        <v>18</v>
      </c>
      <c r="H1270" s="2" t="s">
        <v>25</v>
      </c>
      <c r="I1270" s="2" t="s">
        <v>26</v>
      </c>
      <c r="J1270" s="2" t="s">
        <v>353</v>
      </c>
      <c r="K1270" s="2" t="s">
        <v>1008</v>
      </c>
      <c r="L1270" s="3">
        <v>0.41666666666666669</v>
      </c>
      <c r="M1270" s="2" t="s">
        <v>1113</v>
      </c>
      <c r="N1270" s="2" t="s">
        <v>500</v>
      </c>
      <c r="O1270" s="2"/>
    </row>
    <row r="1271" spans="1:15" x14ac:dyDescent="0.25">
      <c r="A1271" s="2" t="s">
        <v>15</v>
      </c>
      <c r="B1271" s="2" t="str">
        <f>"FES1162768597"</f>
        <v>FES1162768597</v>
      </c>
      <c r="C1271" s="2" t="s">
        <v>802</v>
      </c>
      <c r="D1271" s="2">
        <v>1</v>
      </c>
      <c r="E1271" s="2" t="str">
        <f>"2170754465"</f>
        <v>2170754465</v>
      </c>
      <c r="F1271" s="2" t="s">
        <v>17</v>
      </c>
      <c r="G1271" s="2" t="s">
        <v>18</v>
      </c>
      <c r="H1271" s="2" t="s">
        <v>19</v>
      </c>
      <c r="I1271" s="2" t="s">
        <v>73</v>
      </c>
      <c r="J1271" s="2" t="s">
        <v>76</v>
      </c>
      <c r="K1271" s="2" t="s">
        <v>1008</v>
      </c>
      <c r="L1271" s="3">
        <v>0.35486111111111113</v>
      </c>
      <c r="M1271" s="2" t="s">
        <v>1067</v>
      </c>
      <c r="N1271" s="2" t="s">
        <v>500</v>
      </c>
      <c r="O1271" s="2"/>
    </row>
    <row r="1272" spans="1:15" x14ac:dyDescent="0.25">
      <c r="A1272" s="2" t="s">
        <v>15</v>
      </c>
      <c r="B1272" s="2" t="str">
        <f>"FES1162768909"</f>
        <v>FES1162768909</v>
      </c>
      <c r="C1272" s="2" t="s">
        <v>802</v>
      </c>
      <c r="D1272" s="2">
        <v>1</v>
      </c>
      <c r="E1272" s="2" t="str">
        <f>"2170754459"</f>
        <v>2170754459</v>
      </c>
      <c r="F1272" s="2" t="s">
        <v>17</v>
      </c>
      <c r="G1272" s="2" t="s">
        <v>18</v>
      </c>
      <c r="H1272" s="2" t="s">
        <v>25</v>
      </c>
      <c r="I1272" s="2" t="s">
        <v>26</v>
      </c>
      <c r="J1272" s="2" t="s">
        <v>94</v>
      </c>
      <c r="K1272" s="2" t="s">
        <v>1008</v>
      </c>
      <c r="L1272" s="3">
        <v>0.41666666666666669</v>
      </c>
      <c r="M1272" s="2" t="s">
        <v>1114</v>
      </c>
      <c r="N1272" s="2" t="s">
        <v>500</v>
      </c>
      <c r="O1272" s="2"/>
    </row>
    <row r="1273" spans="1:15" x14ac:dyDescent="0.25">
      <c r="A1273" s="2" t="s">
        <v>15</v>
      </c>
      <c r="B1273" s="2" t="str">
        <f>"FES1162768709"</f>
        <v>FES1162768709</v>
      </c>
      <c r="C1273" s="2" t="s">
        <v>802</v>
      </c>
      <c r="D1273" s="2">
        <v>1</v>
      </c>
      <c r="E1273" s="2" t="str">
        <f>"2170753007"</f>
        <v>2170753007</v>
      </c>
      <c r="F1273" s="2" t="s">
        <v>17</v>
      </c>
      <c r="G1273" s="2" t="s">
        <v>18</v>
      </c>
      <c r="H1273" s="2" t="s">
        <v>25</v>
      </c>
      <c r="I1273" s="2" t="s">
        <v>26</v>
      </c>
      <c r="J1273" s="2" t="s">
        <v>27</v>
      </c>
      <c r="K1273" s="2" t="s">
        <v>1008</v>
      </c>
      <c r="L1273" s="3">
        <v>0.36319444444444443</v>
      </c>
      <c r="M1273" s="2" t="s">
        <v>171</v>
      </c>
      <c r="N1273" s="2" t="s">
        <v>500</v>
      </c>
      <c r="O1273" s="2"/>
    </row>
    <row r="1274" spans="1:15" x14ac:dyDescent="0.25">
      <c r="A1274" s="2" t="s">
        <v>15</v>
      </c>
      <c r="B1274" s="2" t="str">
        <f>"FES1162768842"</f>
        <v>FES1162768842</v>
      </c>
      <c r="C1274" s="2" t="s">
        <v>802</v>
      </c>
      <c r="D1274" s="2">
        <v>1</v>
      </c>
      <c r="E1274" s="2" t="str">
        <f>"2170754116"</f>
        <v>2170754116</v>
      </c>
      <c r="F1274" s="2" t="s">
        <v>17</v>
      </c>
      <c r="G1274" s="2" t="s">
        <v>18</v>
      </c>
      <c r="H1274" s="2" t="s">
        <v>19</v>
      </c>
      <c r="I1274" s="2" t="s">
        <v>73</v>
      </c>
      <c r="J1274" s="2" t="s">
        <v>76</v>
      </c>
      <c r="K1274" s="2" t="s">
        <v>1008</v>
      </c>
      <c r="L1274" s="3">
        <v>0.35486111111111113</v>
      </c>
      <c r="M1274" s="2" t="s">
        <v>1067</v>
      </c>
      <c r="N1274" s="2" t="s">
        <v>500</v>
      </c>
      <c r="O1274" s="2"/>
    </row>
    <row r="1275" spans="1:15" x14ac:dyDescent="0.25">
      <c r="A1275" s="2" t="s">
        <v>15</v>
      </c>
      <c r="B1275" s="2" t="str">
        <f>"FES1162768944"</f>
        <v>FES1162768944</v>
      </c>
      <c r="C1275" s="2" t="s">
        <v>802</v>
      </c>
      <c r="D1275" s="2">
        <v>1</v>
      </c>
      <c r="E1275" s="2" t="str">
        <f>"2170750659"</f>
        <v>2170750659</v>
      </c>
      <c r="F1275" s="2" t="s">
        <v>17</v>
      </c>
      <c r="G1275" s="2" t="s">
        <v>18</v>
      </c>
      <c r="H1275" s="2" t="s">
        <v>18</v>
      </c>
      <c r="I1275" s="2" t="s">
        <v>82</v>
      </c>
      <c r="J1275" s="2" t="s">
        <v>83</v>
      </c>
      <c r="K1275" s="2" t="s">
        <v>1008</v>
      </c>
      <c r="L1275" s="3">
        <v>0.4375</v>
      </c>
      <c r="M1275" s="2" t="s">
        <v>1087</v>
      </c>
      <c r="N1275" s="2" t="s">
        <v>500</v>
      </c>
      <c r="O1275" s="2"/>
    </row>
    <row r="1276" spans="1:15" x14ac:dyDescent="0.25">
      <c r="A1276" s="2" t="s">
        <v>15</v>
      </c>
      <c r="B1276" s="2" t="str">
        <f>"FES1162768558"</f>
        <v>FES1162768558</v>
      </c>
      <c r="C1276" s="2" t="s">
        <v>802</v>
      </c>
      <c r="D1276" s="2">
        <v>1</v>
      </c>
      <c r="E1276" s="2" t="str">
        <f>"2170753755"</f>
        <v>2170753755</v>
      </c>
      <c r="F1276" s="2" t="s">
        <v>17</v>
      </c>
      <c r="G1276" s="2" t="s">
        <v>18</v>
      </c>
      <c r="H1276" s="2" t="s">
        <v>25</v>
      </c>
      <c r="I1276" s="2" t="s">
        <v>26</v>
      </c>
      <c r="J1276" s="2" t="s">
        <v>886</v>
      </c>
      <c r="K1276" s="2" t="s">
        <v>1008</v>
      </c>
      <c r="L1276" s="3">
        <v>0.4145833333333333</v>
      </c>
      <c r="M1276" s="2" t="s">
        <v>956</v>
      </c>
      <c r="N1276" s="2" t="s">
        <v>500</v>
      </c>
      <c r="O1276" s="2"/>
    </row>
    <row r="1277" spans="1:15" x14ac:dyDescent="0.25">
      <c r="A1277" s="2" t="s">
        <v>15</v>
      </c>
      <c r="B1277" s="2" t="str">
        <f>"009939664742"</f>
        <v>009939664742</v>
      </c>
      <c r="C1277" s="2" t="s">
        <v>802</v>
      </c>
      <c r="D1277" s="2">
        <v>1</v>
      </c>
      <c r="E1277" s="2"/>
      <c r="F1277" s="2" t="s">
        <v>205</v>
      </c>
      <c r="G1277" s="2" t="s">
        <v>19</v>
      </c>
      <c r="H1277" s="2" t="s">
        <v>206</v>
      </c>
      <c r="I1277" s="2" t="s">
        <v>46</v>
      </c>
      <c r="J1277" s="2" t="s">
        <v>1045</v>
      </c>
      <c r="K1277" s="2" t="s">
        <v>1008</v>
      </c>
      <c r="L1277" s="3">
        <v>0.38680555555555557</v>
      </c>
      <c r="M1277" s="2" t="s">
        <v>262</v>
      </c>
      <c r="N1277" s="2" t="s">
        <v>500</v>
      </c>
      <c r="O1277" s="2"/>
    </row>
    <row r="1278" spans="1:15" x14ac:dyDescent="0.25">
      <c r="A1278" s="2" t="s">
        <v>15</v>
      </c>
      <c r="B1278" s="2" t="str">
        <f>"FES1162768538"</f>
        <v>FES1162768538</v>
      </c>
      <c r="C1278" s="2" t="s">
        <v>1008</v>
      </c>
      <c r="D1278" s="2">
        <v>1</v>
      </c>
      <c r="E1278" s="2" t="str">
        <f>"2170752985"</f>
        <v>2170752985</v>
      </c>
      <c r="F1278" s="2" t="s">
        <v>17</v>
      </c>
      <c r="G1278" s="2" t="s">
        <v>18</v>
      </c>
      <c r="H1278" s="2" t="s">
        <v>19</v>
      </c>
      <c r="I1278" s="2" t="s">
        <v>20</v>
      </c>
      <c r="J1278" s="2" t="s">
        <v>77</v>
      </c>
      <c r="K1278" s="2" t="s">
        <v>1084</v>
      </c>
      <c r="L1278" s="3">
        <v>0.33124999999999999</v>
      </c>
      <c r="M1278" s="2" t="s">
        <v>198</v>
      </c>
      <c r="N1278" s="2" t="s">
        <v>500</v>
      </c>
      <c r="O1278" s="2"/>
    </row>
    <row r="1279" spans="1:15" x14ac:dyDescent="0.25">
      <c r="A1279" s="2" t="s">
        <v>15</v>
      </c>
      <c r="B1279" s="2" t="str">
        <f>"FES1162769153"</f>
        <v>FES1162769153</v>
      </c>
      <c r="C1279" s="2" t="s">
        <v>1008</v>
      </c>
      <c r="D1279" s="2">
        <v>1</v>
      </c>
      <c r="E1279" s="2" t="str">
        <f>"2170755214"</f>
        <v>2170755214</v>
      </c>
      <c r="F1279" s="2" t="s">
        <v>17</v>
      </c>
      <c r="G1279" s="2" t="s">
        <v>18</v>
      </c>
      <c r="H1279" s="2" t="s">
        <v>25</v>
      </c>
      <c r="I1279" s="2" t="s">
        <v>26</v>
      </c>
      <c r="J1279" s="2" t="s">
        <v>757</v>
      </c>
      <c r="K1279" s="2" t="s">
        <v>1084</v>
      </c>
      <c r="L1279" s="3">
        <v>0.40416666666666662</v>
      </c>
      <c r="M1279" s="2" t="s">
        <v>1154</v>
      </c>
      <c r="N1279" s="2" t="s">
        <v>500</v>
      </c>
      <c r="O1279" s="2"/>
    </row>
    <row r="1280" spans="1:15" x14ac:dyDescent="0.25">
      <c r="A1280" s="2" t="s">
        <v>15</v>
      </c>
      <c r="B1280" s="2" t="str">
        <f>"FES1162768710"</f>
        <v>FES1162768710</v>
      </c>
      <c r="C1280" s="2" t="s">
        <v>1008</v>
      </c>
      <c r="D1280" s="2">
        <v>1</v>
      </c>
      <c r="E1280" s="2" t="str">
        <f>"2170752057"</f>
        <v>2170752057</v>
      </c>
      <c r="F1280" s="2" t="s">
        <v>17</v>
      </c>
      <c r="G1280" s="2" t="s">
        <v>18</v>
      </c>
      <c r="H1280" s="2" t="s">
        <v>19</v>
      </c>
      <c r="I1280" s="2" t="s">
        <v>20</v>
      </c>
      <c r="J1280" s="2" t="s">
        <v>77</v>
      </c>
      <c r="K1280" s="2" t="s">
        <v>1084</v>
      </c>
      <c r="L1280" s="3">
        <v>0.33055555555555555</v>
      </c>
      <c r="M1280" s="2" t="s">
        <v>198</v>
      </c>
      <c r="N1280" s="2" t="s">
        <v>500</v>
      </c>
      <c r="O1280" s="2"/>
    </row>
    <row r="1281" spans="1:15" x14ac:dyDescent="0.25">
      <c r="A1281" s="2" t="s">
        <v>15</v>
      </c>
      <c r="B1281" s="2" t="str">
        <f>"FES1162768539"</f>
        <v>FES1162768539</v>
      </c>
      <c r="C1281" s="2" t="s">
        <v>1008</v>
      </c>
      <c r="D1281" s="2">
        <v>1</v>
      </c>
      <c r="E1281" s="2" t="str">
        <f>"2170753036"</f>
        <v>2170753036</v>
      </c>
      <c r="F1281" s="2" t="s">
        <v>17</v>
      </c>
      <c r="G1281" s="2" t="s">
        <v>18</v>
      </c>
      <c r="H1281" s="2" t="s">
        <v>19</v>
      </c>
      <c r="I1281" s="2" t="s">
        <v>20</v>
      </c>
      <c r="J1281" s="2" t="s">
        <v>77</v>
      </c>
      <c r="K1281" s="2" t="s">
        <v>1084</v>
      </c>
      <c r="L1281" s="3">
        <v>0.33055555555555555</v>
      </c>
      <c r="M1281" s="2" t="s">
        <v>198</v>
      </c>
      <c r="N1281" s="2" t="s">
        <v>500</v>
      </c>
      <c r="O1281" s="2"/>
    </row>
    <row r="1282" spans="1:15" x14ac:dyDescent="0.25">
      <c r="A1282" s="2" t="s">
        <v>15</v>
      </c>
      <c r="B1282" s="2" t="str">
        <f>"FES1162769138"</f>
        <v>FES1162769138</v>
      </c>
      <c r="C1282" s="2" t="s">
        <v>1008</v>
      </c>
      <c r="D1282" s="2">
        <v>1</v>
      </c>
      <c r="E1282" s="2" t="str">
        <f>"2170755061"</f>
        <v>2170755061</v>
      </c>
      <c r="F1282" s="2" t="s">
        <v>17</v>
      </c>
      <c r="G1282" s="2" t="s">
        <v>18</v>
      </c>
      <c r="H1282" s="2" t="s">
        <v>18</v>
      </c>
      <c r="I1282" s="2" t="s">
        <v>63</v>
      </c>
      <c r="J1282" s="2" t="s">
        <v>93</v>
      </c>
      <c r="K1282" s="2" t="s">
        <v>1084</v>
      </c>
      <c r="L1282" s="3">
        <v>0.36944444444444446</v>
      </c>
      <c r="M1282" s="2" t="s">
        <v>332</v>
      </c>
      <c r="N1282" s="2" t="s">
        <v>500</v>
      </c>
      <c r="O1282" s="2"/>
    </row>
    <row r="1283" spans="1:15" x14ac:dyDescent="0.25">
      <c r="A1283" s="2" t="s">
        <v>15</v>
      </c>
      <c r="B1283" s="2" t="str">
        <f>"FES1162769192"</f>
        <v>FES1162769192</v>
      </c>
      <c r="C1283" s="2" t="s">
        <v>1008</v>
      </c>
      <c r="D1283" s="2">
        <v>1</v>
      </c>
      <c r="E1283" s="2" t="str">
        <f>"2170756317"</f>
        <v>2170756317</v>
      </c>
      <c r="F1283" s="2" t="s">
        <v>17</v>
      </c>
      <c r="G1283" s="2" t="s">
        <v>18</v>
      </c>
      <c r="H1283" s="2" t="s">
        <v>18</v>
      </c>
      <c r="I1283" s="2" t="s">
        <v>65</v>
      </c>
      <c r="J1283" s="2" t="s">
        <v>1115</v>
      </c>
      <c r="K1283" s="2" t="s">
        <v>1084</v>
      </c>
      <c r="L1283" s="3">
        <v>0.3840277777777778</v>
      </c>
      <c r="M1283" s="2" t="s">
        <v>1155</v>
      </c>
      <c r="N1283" s="2" t="s">
        <v>500</v>
      </c>
      <c r="O1283" s="2"/>
    </row>
    <row r="1284" spans="1:15" x14ac:dyDescent="0.25">
      <c r="A1284" s="2" t="s">
        <v>15</v>
      </c>
      <c r="B1284" s="2" t="str">
        <f>"FES1162768775"</f>
        <v>FES1162768775</v>
      </c>
      <c r="C1284" s="2" t="s">
        <v>1008</v>
      </c>
      <c r="D1284" s="2">
        <v>1</v>
      </c>
      <c r="E1284" s="2" t="str">
        <f>"2170752589"</f>
        <v>2170752589</v>
      </c>
      <c r="F1284" s="2" t="s">
        <v>17</v>
      </c>
      <c r="G1284" s="2" t="s">
        <v>18</v>
      </c>
      <c r="H1284" s="2" t="s">
        <v>19</v>
      </c>
      <c r="I1284" s="2" t="s">
        <v>20</v>
      </c>
      <c r="J1284" s="2" t="s">
        <v>21</v>
      </c>
      <c r="K1284" s="2" t="s">
        <v>1084</v>
      </c>
      <c r="L1284" s="3">
        <v>0.37638888888888888</v>
      </c>
      <c r="M1284" s="2" t="s">
        <v>263</v>
      </c>
      <c r="N1284" s="2" t="s">
        <v>500</v>
      </c>
      <c r="O1284" s="2"/>
    </row>
    <row r="1285" spans="1:15" x14ac:dyDescent="0.25">
      <c r="A1285" s="2" t="s">
        <v>15</v>
      </c>
      <c r="B1285" s="2" t="str">
        <f>"FES1162769071"</f>
        <v>FES1162769071</v>
      </c>
      <c r="C1285" s="2" t="s">
        <v>1008</v>
      </c>
      <c r="D1285" s="2">
        <v>1</v>
      </c>
      <c r="E1285" s="2" t="str">
        <f>"2170753277"</f>
        <v>2170753277</v>
      </c>
      <c r="F1285" s="2" t="s">
        <v>17</v>
      </c>
      <c r="G1285" s="2" t="s">
        <v>18</v>
      </c>
      <c r="H1285" s="2" t="s">
        <v>18</v>
      </c>
      <c r="I1285" s="2" t="s">
        <v>57</v>
      </c>
      <c r="J1285" s="2" t="s">
        <v>92</v>
      </c>
      <c r="K1285" s="2" t="s">
        <v>1084</v>
      </c>
      <c r="L1285" s="3">
        <v>0.31319444444444444</v>
      </c>
      <c r="M1285" s="2" t="s">
        <v>693</v>
      </c>
      <c r="N1285" s="2" t="s">
        <v>500</v>
      </c>
      <c r="O1285" s="2"/>
    </row>
    <row r="1286" spans="1:15" x14ac:dyDescent="0.25">
      <c r="A1286" s="2" t="s">
        <v>15</v>
      </c>
      <c r="B1286" s="2" t="str">
        <f>"FES1162769207"</f>
        <v>FES1162769207</v>
      </c>
      <c r="C1286" s="2" t="s">
        <v>1008</v>
      </c>
      <c r="D1286" s="2">
        <v>1</v>
      </c>
      <c r="E1286" s="2" t="str">
        <f>"2170756513"</f>
        <v>2170756513</v>
      </c>
      <c r="F1286" s="2" t="s">
        <v>17</v>
      </c>
      <c r="G1286" s="2" t="s">
        <v>18</v>
      </c>
      <c r="H1286" s="2" t="s">
        <v>25</v>
      </c>
      <c r="I1286" s="2" t="s">
        <v>26</v>
      </c>
      <c r="J1286" s="2" t="s">
        <v>75</v>
      </c>
      <c r="K1286" s="2" t="s">
        <v>1084</v>
      </c>
      <c r="L1286" s="3">
        <v>0.39444444444444443</v>
      </c>
      <c r="M1286" s="2" t="s">
        <v>518</v>
      </c>
      <c r="N1286" s="2" t="s">
        <v>500</v>
      </c>
      <c r="O1286" s="2"/>
    </row>
    <row r="1287" spans="1:15" x14ac:dyDescent="0.25">
      <c r="A1287" s="2" t="s">
        <v>15</v>
      </c>
      <c r="B1287" s="2" t="str">
        <f>"FES1162769189"</f>
        <v>FES1162769189</v>
      </c>
      <c r="C1287" s="2" t="s">
        <v>1008</v>
      </c>
      <c r="D1287" s="2">
        <v>1</v>
      </c>
      <c r="E1287" s="2" t="str">
        <f>"2170756219"</f>
        <v>2170756219</v>
      </c>
      <c r="F1287" s="2" t="s">
        <v>17</v>
      </c>
      <c r="G1287" s="2" t="s">
        <v>18</v>
      </c>
      <c r="H1287" s="2" t="s">
        <v>18</v>
      </c>
      <c r="I1287" s="2" t="s">
        <v>116</v>
      </c>
      <c r="J1287" s="2" t="s">
        <v>786</v>
      </c>
      <c r="K1287" s="2" t="s">
        <v>1084</v>
      </c>
      <c r="L1287" s="3">
        <v>0.375</v>
      </c>
      <c r="M1287" s="2" t="s">
        <v>1156</v>
      </c>
      <c r="N1287" s="2" t="s">
        <v>500</v>
      </c>
      <c r="O1287" s="2"/>
    </row>
    <row r="1288" spans="1:15" x14ac:dyDescent="0.25">
      <c r="A1288" s="2" t="s">
        <v>15</v>
      </c>
      <c r="B1288" s="2" t="str">
        <f>"FES1162769100"</f>
        <v>FES1162769100</v>
      </c>
      <c r="C1288" s="2" t="s">
        <v>1008</v>
      </c>
      <c r="D1288" s="2">
        <v>1</v>
      </c>
      <c r="E1288" s="2" t="str">
        <f>"2170754459"</f>
        <v>2170754459</v>
      </c>
      <c r="F1288" s="2" t="s">
        <v>17</v>
      </c>
      <c r="G1288" s="2" t="s">
        <v>18</v>
      </c>
      <c r="H1288" s="2" t="s">
        <v>25</v>
      </c>
      <c r="I1288" s="2" t="s">
        <v>26</v>
      </c>
      <c r="J1288" s="2" t="s">
        <v>94</v>
      </c>
      <c r="K1288" s="2" t="s">
        <v>1084</v>
      </c>
      <c r="L1288" s="3">
        <v>0.41666666666666669</v>
      </c>
      <c r="M1288" s="2" t="s">
        <v>1114</v>
      </c>
      <c r="N1288" s="2" t="s">
        <v>500</v>
      </c>
      <c r="O1288" s="2"/>
    </row>
    <row r="1289" spans="1:15" x14ac:dyDescent="0.25">
      <c r="A1289" s="2" t="s">
        <v>15</v>
      </c>
      <c r="B1289" s="2" t="str">
        <f>"FES1162768537"</f>
        <v>FES1162768537</v>
      </c>
      <c r="C1289" s="2" t="s">
        <v>1008</v>
      </c>
      <c r="D1289" s="2">
        <v>1</v>
      </c>
      <c r="E1289" s="2" t="str">
        <f>"2170748684"</f>
        <v>2170748684</v>
      </c>
      <c r="F1289" s="2" t="s">
        <v>205</v>
      </c>
      <c r="G1289" s="2" t="s">
        <v>206</v>
      </c>
      <c r="H1289" s="2" t="s">
        <v>1116</v>
      </c>
      <c r="I1289" s="2" t="s">
        <v>109</v>
      </c>
      <c r="J1289" s="2" t="s">
        <v>452</v>
      </c>
      <c r="K1289" s="2" t="s">
        <v>1084</v>
      </c>
      <c r="L1289" s="3">
        <v>0.43611111111111112</v>
      </c>
      <c r="M1289" s="2" t="s">
        <v>452</v>
      </c>
      <c r="N1289" s="2" t="s">
        <v>500</v>
      </c>
      <c r="O1289" s="2"/>
    </row>
    <row r="1290" spans="1:15" x14ac:dyDescent="0.25">
      <c r="A1290" s="2" t="s">
        <v>15</v>
      </c>
      <c r="B1290" s="2" t="str">
        <f>"FES1162768540"</f>
        <v>FES1162768540</v>
      </c>
      <c r="C1290" s="2" t="s">
        <v>1008</v>
      </c>
      <c r="D1290" s="2">
        <v>1</v>
      </c>
      <c r="E1290" s="2" t="str">
        <f>"2170753663"</f>
        <v>2170753663</v>
      </c>
      <c r="F1290" s="2" t="s">
        <v>17</v>
      </c>
      <c r="G1290" s="2" t="s">
        <v>18</v>
      </c>
      <c r="H1290" s="2" t="s">
        <v>19</v>
      </c>
      <c r="I1290" s="2" t="s">
        <v>269</v>
      </c>
      <c r="J1290" s="2" t="s">
        <v>270</v>
      </c>
      <c r="K1290" s="2" t="s">
        <v>1084</v>
      </c>
      <c r="L1290" s="3">
        <v>0.3520833333333333</v>
      </c>
      <c r="M1290" s="2" t="s">
        <v>271</v>
      </c>
      <c r="N1290" s="2" t="s">
        <v>500</v>
      </c>
      <c r="O1290" s="2"/>
    </row>
    <row r="1291" spans="1:15" x14ac:dyDescent="0.25">
      <c r="A1291" s="2" t="s">
        <v>15</v>
      </c>
      <c r="B1291" s="2" t="str">
        <f>"FES1162769165"</f>
        <v>FES1162769165</v>
      </c>
      <c r="C1291" s="2" t="s">
        <v>1008</v>
      </c>
      <c r="D1291" s="2">
        <v>1</v>
      </c>
      <c r="E1291" s="2" t="str">
        <f>"2170755479"</f>
        <v>2170755479</v>
      </c>
      <c r="F1291" s="2" t="s">
        <v>17</v>
      </c>
      <c r="G1291" s="2" t="s">
        <v>18</v>
      </c>
      <c r="H1291" s="2" t="s">
        <v>18</v>
      </c>
      <c r="I1291" s="2" t="s">
        <v>57</v>
      </c>
      <c r="J1291" s="2" t="s">
        <v>103</v>
      </c>
      <c r="K1291" s="2" t="s">
        <v>1084</v>
      </c>
      <c r="L1291" s="3">
        <v>0.31805555555555554</v>
      </c>
      <c r="M1291" s="2" t="s">
        <v>220</v>
      </c>
      <c r="N1291" s="2" t="s">
        <v>500</v>
      </c>
      <c r="O1291" s="2"/>
    </row>
    <row r="1292" spans="1:15" x14ac:dyDescent="0.25">
      <c r="A1292" s="2" t="s">
        <v>15</v>
      </c>
      <c r="B1292" s="2" t="str">
        <f>"FES1162769155"</f>
        <v>FES1162769155</v>
      </c>
      <c r="C1292" s="2" t="s">
        <v>1008</v>
      </c>
      <c r="D1292" s="2">
        <v>1</v>
      </c>
      <c r="E1292" s="2" t="str">
        <f>"2170755224"</f>
        <v>2170755224</v>
      </c>
      <c r="F1292" s="2" t="s">
        <v>17</v>
      </c>
      <c r="G1292" s="2" t="s">
        <v>18</v>
      </c>
      <c r="H1292" s="2" t="s">
        <v>25</v>
      </c>
      <c r="I1292" s="2" t="s">
        <v>26</v>
      </c>
      <c r="J1292" s="2" t="s">
        <v>622</v>
      </c>
      <c r="K1292" s="2" t="s">
        <v>1084</v>
      </c>
      <c r="L1292" s="3">
        <v>0.4055555555555555</v>
      </c>
      <c r="M1292" s="2" t="s">
        <v>1157</v>
      </c>
      <c r="N1292" s="2" t="s">
        <v>500</v>
      </c>
      <c r="O1292" s="2"/>
    </row>
    <row r="1293" spans="1:15" x14ac:dyDescent="0.25">
      <c r="A1293" s="2" t="s">
        <v>15</v>
      </c>
      <c r="B1293" s="2" t="str">
        <f>"FES1162769164"</f>
        <v>FES1162769164</v>
      </c>
      <c r="C1293" s="2" t="s">
        <v>1008</v>
      </c>
      <c r="D1293" s="2">
        <v>1</v>
      </c>
      <c r="E1293" s="2" t="str">
        <f>"2170755384"</f>
        <v>2170755384</v>
      </c>
      <c r="F1293" s="2" t="s">
        <v>17</v>
      </c>
      <c r="G1293" s="2" t="s">
        <v>18</v>
      </c>
      <c r="H1293" s="2" t="s">
        <v>18</v>
      </c>
      <c r="I1293" s="2" t="s">
        <v>52</v>
      </c>
      <c r="J1293" s="2" t="s">
        <v>53</v>
      </c>
      <c r="K1293" s="2" t="s">
        <v>1084</v>
      </c>
      <c r="L1293" s="3">
        <v>0.47916666666666669</v>
      </c>
      <c r="M1293" s="2" t="s">
        <v>1158</v>
      </c>
      <c r="N1293" s="2" t="s">
        <v>500</v>
      </c>
      <c r="O1293" s="2"/>
    </row>
    <row r="1294" spans="1:15" x14ac:dyDescent="0.25">
      <c r="A1294" s="2" t="s">
        <v>15</v>
      </c>
      <c r="B1294" s="2" t="str">
        <f>"FES1162769154"</f>
        <v>FES1162769154</v>
      </c>
      <c r="C1294" s="2" t="s">
        <v>1008</v>
      </c>
      <c r="D1294" s="2">
        <v>1</v>
      </c>
      <c r="E1294" s="2" t="str">
        <f>"2170755215"</f>
        <v>2170755215</v>
      </c>
      <c r="F1294" s="2" t="s">
        <v>17</v>
      </c>
      <c r="G1294" s="2" t="s">
        <v>18</v>
      </c>
      <c r="H1294" s="2" t="s">
        <v>25</v>
      </c>
      <c r="I1294" s="2" t="s">
        <v>26</v>
      </c>
      <c r="J1294" s="2" t="s">
        <v>757</v>
      </c>
      <c r="K1294" s="2" t="s">
        <v>1084</v>
      </c>
      <c r="L1294" s="3">
        <v>0.40416666666666662</v>
      </c>
      <c r="M1294" s="2" t="s">
        <v>1154</v>
      </c>
      <c r="N1294" s="2" t="s">
        <v>500</v>
      </c>
      <c r="O1294" s="2"/>
    </row>
    <row r="1295" spans="1:15" x14ac:dyDescent="0.25">
      <c r="A1295" s="2" t="s">
        <v>15</v>
      </c>
      <c r="B1295" s="2" t="str">
        <f>"FES1162769075"</f>
        <v>FES1162769075</v>
      </c>
      <c r="C1295" s="2" t="s">
        <v>1008</v>
      </c>
      <c r="D1295" s="2">
        <v>1</v>
      </c>
      <c r="E1295" s="2" t="str">
        <f>"2170753643"</f>
        <v>2170753643</v>
      </c>
      <c r="F1295" s="2" t="s">
        <v>17</v>
      </c>
      <c r="G1295" s="2" t="s">
        <v>18</v>
      </c>
      <c r="H1295" s="2" t="s">
        <v>25</v>
      </c>
      <c r="I1295" s="2" t="s">
        <v>26</v>
      </c>
      <c r="J1295" s="2" t="s">
        <v>367</v>
      </c>
      <c r="K1295" s="2" t="s">
        <v>1084</v>
      </c>
      <c r="L1295" s="3">
        <v>0.42430555555555555</v>
      </c>
      <c r="M1295" s="2" t="s">
        <v>529</v>
      </c>
      <c r="N1295" s="2" t="s">
        <v>500</v>
      </c>
      <c r="O1295" s="2"/>
    </row>
    <row r="1296" spans="1:15" x14ac:dyDescent="0.25">
      <c r="A1296" s="2" t="s">
        <v>15</v>
      </c>
      <c r="B1296" s="2" t="str">
        <f>"FES1162769173"</f>
        <v>FES1162769173</v>
      </c>
      <c r="C1296" s="2" t="s">
        <v>1008</v>
      </c>
      <c r="D1296" s="2">
        <v>1</v>
      </c>
      <c r="E1296" s="2" t="str">
        <f>"2170755654"</f>
        <v>2170755654</v>
      </c>
      <c r="F1296" s="2" t="s">
        <v>17</v>
      </c>
      <c r="G1296" s="2" t="s">
        <v>18</v>
      </c>
      <c r="H1296" s="2" t="s">
        <v>36</v>
      </c>
      <c r="I1296" s="2" t="s">
        <v>37</v>
      </c>
      <c r="J1296" s="2" t="s">
        <v>303</v>
      </c>
      <c r="K1296" s="2" t="s">
        <v>1084</v>
      </c>
      <c r="L1296" s="3">
        <v>0.4236111111111111</v>
      </c>
      <c r="M1296" s="2" t="s">
        <v>1159</v>
      </c>
      <c r="N1296" s="2" t="s">
        <v>500</v>
      </c>
      <c r="O1296" s="2"/>
    </row>
    <row r="1297" spans="1:15" x14ac:dyDescent="0.25">
      <c r="A1297" s="2" t="s">
        <v>15</v>
      </c>
      <c r="B1297" s="2" t="str">
        <f>"FES1162769016"</f>
        <v>FES1162769016</v>
      </c>
      <c r="C1297" s="2" t="s">
        <v>1008</v>
      </c>
      <c r="D1297" s="2">
        <v>1</v>
      </c>
      <c r="E1297" s="2" t="str">
        <f>"2170751733"</f>
        <v>2170751733</v>
      </c>
      <c r="F1297" s="2" t="s">
        <v>17</v>
      </c>
      <c r="G1297" s="2" t="s">
        <v>18</v>
      </c>
      <c r="H1297" s="2" t="s">
        <v>36</v>
      </c>
      <c r="I1297" s="2" t="s">
        <v>37</v>
      </c>
      <c r="J1297" s="2" t="s">
        <v>1117</v>
      </c>
      <c r="K1297" s="2" t="s">
        <v>1084</v>
      </c>
      <c r="L1297" s="3">
        <v>0.3611111111111111</v>
      </c>
      <c r="M1297" s="2" t="s">
        <v>1160</v>
      </c>
      <c r="N1297" s="2" t="s">
        <v>500</v>
      </c>
      <c r="O1297" s="2"/>
    </row>
    <row r="1298" spans="1:15" x14ac:dyDescent="0.25">
      <c r="A1298" s="2" t="s">
        <v>15</v>
      </c>
      <c r="B1298" s="2" t="str">
        <f>"FES1162769063"</f>
        <v>FES1162769063</v>
      </c>
      <c r="C1298" s="2" t="s">
        <v>1008</v>
      </c>
      <c r="D1298" s="2">
        <v>1</v>
      </c>
      <c r="E1298" s="2" t="str">
        <f>"2170752408"</f>
        <v>2170752408</v>
      </c>
      <c r="F1298" s="2" t="s">
        <v>17</v>
      </c>
      <c r="G1298" s="2" t="s">
        <v>18</v>
      </c>
      <c r="H1298" s="2" t="s">
        <v>25</v>
      </c>
      <c r="I1298" s="2" t="s">
        <v>26</v>
      </c>
      <c r="J1298" s="2" t="s">
        <v>1118</v>
      </c>
      <c r="K1298" s="2" t="s">
        <v>1084</v>
      </c>
      <c r="L1298" s="3">
        <v>0.4375</v>
      </c>
      <c r="M1298" s="2" t="s">
        <v>1161</v>
      </c>
      <c r="N1298" s="2" t="s">
        <v>500</v>
      </c>
      <c r="O1298" s="2"/>
    </row>
    <row r="1299" spans="1:15" x14ac:dyDescent="0.25">
      <c r="A1299" s="5" t="s">
        <v>15</v>
      </c>
      <c r="B1299" s="5" t="str">
        <f>"FES1162769197"</f>
        <v>FES1162769197</v>
      </c>
      <c r="C1299" s="5" t="s">
        <v>1008</v>
      </c>
      <c r="D1299" s="5">
        <v>1</v>
      </c>
      <c r="E1299" s="5" t="str">
        <f>"2170756411"</f>
        <v>2170756411</v>
      </c>
      <c r="F1299" s="5" t="s">
        <v>17</v>
      </c>
      <c r="G1299" s="5" t="s">
        <v>18</v>
      </c>
      <c r="H1299" s="5" t="s">
        <v>18</v>
      </c>
      <c r="I1299" s="5" t="s">
        <v>63</v>
      </c>
      <c r="J1299" s="5" t="s">
        <v>1119</v>
      </c>
      <c r="K1299" s="5" t="s">
        <v>1084</v>
      </c>
      <c r="L1299" s="9">
        <v>0.42986111111111108</v>
      </c>
      <c r="M1299" s="5" t="s">
        <v>1162</v>
      </c>
      <c r="N1299" s="5" t="s">
        <v>500</v>
      </c>
      <c r="O1299" s="5"/>
    </row>
    <row r="1300" spans="1:15" x14ac:dyDescent="0.25">
      <c r="A1300" s="10" t="s">
        <v>15</v>
      </c>
      <c r="B1300" s="10" t="str">
        <f>"080002734950"</f>
        <v>080002734950</v>
      </c>
      <c r="C1300" s="10" t="s">
        <v>1008</v>
      </c>
      <c r="D1300" s="10">
        <v>1</v>
      </c>
      <c r="E1300" s="10" t="str">
        <f>""</f>
        <v/>
      </c>
      <c r="F1300" s="10" t="s">
        <v>17</v>
      </c>
      <c r="G1300" s="10" t="s">
        <v>206</v>
      </c>
      <c r="H1300" s="10" t="s">
        <v>363</v>
      </c>
      <c r="I1300" s="10" t="s">
        <v>489</v>
      </c>
      <c r="J1300" s="10" t="s">
        <v>1046</v>
      </c>
      <c r="K1300" s="10" t="s">
        <v>1249</v>
      </c>
      <c r="L1300" s="10"/>
      <c r="M1300" s="10" t="s">
        <v>23</v>
      </c>
      <c r="N1300" s="10" t="s">
        <v>1827</v>
      </c>
      <c r="O1300" s="10" t="s">
        <v>1326</v>
      </c>
    </row>
    <row r="1301" spans="1:15" x14ac:dyDescent="0.25">
      <c r="A1301" s="2" t="s">
        <v>15</v>
      </c>
      <c r="B1301" s="2" t="str">
        <f>"FES1162769324"</f>
        <v>FES1162769324</v>
      </c>
      <c r="C1301" s="2" t="s">
        <v>1008</v>
      </c>
      <c r="D1301" s="2">
        <v>1</v>
      </c>
      <c r="E1301" s="2" t="str">
        <f>"2170754952"</f>
        <v>2170754952</v>
      </c>
      <c r="F1301" s="2" t="s">
        <v>17</v>
      </c>
      <c r="G1301" s="2" t="s">
        <v>18</v>
      </c>
      <c r="H1301" s="2" t="s">
        <v>18</v>
      </c>
      <c r="I1301" s="2" t="s">
        <v>46</v>
      </c>
      <c r="J1301" s="2" t="s">
        <v>168</v>
      </c>
      <c r="K1301" s="2" t="s">
        <v>1084</v>
      </c>
      <c r="L1301" s="3">
        <v>0.39861111111111108</v>
      </c>
      <c r="M1301" s="2" t="s">
        <v>354</v>
      </c>
      <c r="N1301" s="2" t="s">
        <v>500</v>
      </c>
      <c r="O1301" s="2"/>
    </row>
    <row r="1302" spans="1:15" x14ac:dyDescent="0.25">
      <c r="A1302" s="2" t="s">
        <v>15</v>
      </c>
      <c r="B1302" s="2" t="str">
        <f>"FES1162769345"</f>
        <v>FES1162769345</v>
      </c>
      <c r="C1302" s="2" t="s">
        <v>1008</v>
      </c>
      <c r="D1302" s="2">
        <v>1</v>
      </c>
      <c r="E1302" s="2" t="str">
        <f>"2170756940"</f>
        <v>2170756940</v>
      </c>
      <c r="F1302" s="2" t="s">
        <v>205</v>
      </c>
      <c r="G1302" s="2" t="s">
        <v>206</v>
      </c>
      <c r="H1302" s="2" t="s">
        <v>120</v>
      </c>
      <c r="I1302" s="2" t="s">
        <v>1120</v>
      </c>
      <c r="J1302" s="2" t="s">
        <v>1121</v>
      </c>
      <c r="K1302" s="2" t="s">
        <v>1084</v>
      </c>
      <c r="L1302" s="3">
        <v>0.61111111111111105</v>
      </c>
      <c r="M1302" s="2" t="s">
        <v>1163</v>
      </c>
      <c r="N1302" s="2" t="s">
        <v>500</v>
      </c>
      <c r="O1302" s="2"/>
    </row>
    <row r="1303" spans="1:15" x14ac:dyDescent="0.25">
      <c r="A1303" s="2" t="s">
        <v>15</v>
      </c>
      <c r="B1303" s="2" t="str">
        <f>"FES1162769297"</f>
        <v>FES1162769297</v>
      </c>
      <c r="C1303" s="2" t="s">
        <v>1008</v>
      </c>
      <c r="D1303" s="2">
        <v>1</v>
      </c>
      <c r="E1303" s="2" t="str">
        <f>"2170754648"</f>
        <v>2170754648</v>
      </c>
      <c r="F1303" s="2" t="s">
        <v>17</v>
      </c>
      <c r="G1303" s="2" t="s">
        <v>18</v>
      </c>
      <c r="H1303" s="2" t="s">
        <v>25</v>
      </c>
      <c r="I1303" s="2" t="s">
        <v>26</v>
      </c>
      <c r="J1303" s="2" t="s">
        <v>100</v>
      </c>
      <c r="K1303" s="2" t="s">
        <v>1084</v>
      </c>
      <c r="L1303" s="3">
        <v>0.34861111111111115</v>
      </c>
      <c r="M1303" s="2" t="s">
        <v>844</v>
      </c>
      <c r="N1303" s="2" t="s">
        <v>500</v>
      </c>
      <c r="O1303" s="2"/>
    </row>
    <row r="1304" spans="1:15" x14ac:dyDescent="0.25">
      <c r="A1304" s="2" t="s">
        <v>15</v>
      </c>
      <c r="B1304" s="2" t="str">
        <f>"R009940283641"</f>
        <v>R009940283641</v>
      </c>
      <c r="C1304" s="2" t="s">
        <v>1008</v>
      </c>
      <c r="D1304" s="2">
        <v>1</v>
      </c>
      <c r="E1304" s="2" t="str">
        <f>"1162757745"</f>
        <v>1162757745</v>
      </c>
      <c r="F1304" s="2" t="s">
        <v>17</v>
      </c>
      <c r="G1304" s="2" t="s">
        <v>18</v>
      </c>
      <c r="H1304" s="2" t="s">
        <v>18</v>
      </c>
      <c r="I1304" s="2" t="s">
        <v>46</v>
      </c>
      <c r="J1304" s="2" t="s">
        <v>170</v>
      </c>
      <c r="K1304" s="2" t="s">
        <v>1084</v>
      </c>
      <c r="L1304" s="3">
        <v>0.4055555555555555</v>
      </c>
      <c r="M1304" s="2" t="s">
        <v>262</v>
      </c>
      <c r="N1304" s="2" t="s">
        <v>500</v>
      </c>
      <c r="O1304" s="2"/>
    </row>
    <row r="1305" spans="1:15" x14ac:dyDescent="0.25">
      <c r="A1305" s="2" t="s">
        <v>15</v>
      </c>
      <c r="B1305" s="2" t="str">
        <f>"FES1162769157"</f>
        <v>FES1162769157</v>
      </c>
      <c r="C1305" s="2" t="s">
        <v>1008</v>
      </c>
      <c r="D1305" s="2">
        <v>1</v>
      </c>
      <c r="E1305" s="2" t="str">
        <f>"2170755267"</f>
        <v>2170755267</v>
      </c>
      <c r="F1305" s="2" t="s">
        <v>17</v>
      </c>
      <c r="G1305" s="2" t="s">
        <v>18</v>
      </c>
      <c r="H1305" s="2" t="s">
        <v>18</v>
      </c>
      <c r="I1305" s="2" t="s">
        <v>63</v>
      </c>
      <c r="J1305" s="2" t="s">
        <v>900</v>
      </c>
      <c r="K1305" s="2" t="s">
        <v>1084</v>
      </c>
      <c r="L1305" s="3">
        <v>0.375</v>
      </c>
      <c r="M1305" s="2" t="s">
        <v>1164</v>
      </c>
      <c r="N1305" s="2" t="s">
        <v>500</v>
      </c>
      <c r="O1305" s="2"/>
    </row>
    <row r="1306" spans="1:15" x14ac:dyDescent="0.25">
      <c r="A1306" s="2" t="s">
        <v>15</v>
      </c>
      <c r="B1306" s="2" t="str">
        <f>"FES1162769127"</f>
        <v>FES1162769127</v>
      </c>
      <c r="C1306" s="2" t="s">
        <v>1008</v>
      </c>
      <c r="D1306" s="2">
        <v>1</v>
      </c>
      <c r="E1306" s="2" t="str">
        <f>"2170754971"</f>
        <v>2170754971</v>
      </c>
      <c r="F1306" s="2" t="s">
        <v>17</v>
      </c>
      <c r="G1306" s="2" t="s">
        <v>18</v>
      </c>
      <c r="H1306" s="2" t="s">
        <v>18</v>
      </c>
      <c r="I1306" s="2" t="s">
        <v>63</v>
      </c>
      <c r="J1306" s="2" t="s">
        <v>93</v>
      </c>
      <c r="K1306" s="2" t="s">
        <v>1084</v>
      </c>
      <c r="L1306" s="3">
        <v>0.36944444444444446</v>
      </c>
      <c r="M1306" s="2" t="s">
        <v>471</v>
      </c>
      <c r="N1306" s="2" t="s">
        <v>500</v>
      </c>
      <c r="O1306" s="2"/>
    </row>
    <row r="1307" spans="1:15" x14ac:dyDescent="0.25">
      <c r="A1307" s="2" t="s">
        <v>15</v>
      </c>
      <c r="B1307" s="2" t="str">
        <f>"FES1162769092"</f>
        <v>FES1162769092</v>
      </c>
      <c r="C1307" s="2" t="s">
        <v>1008</v>
      </c>
      <c r="D1307" s="2">
        <v>1</v>
      </c>
      <c r="E1307" s="2" t="str">
        <f>"2170754340"</f>
        <v>2170754340</v>
      </c>
      <c r="F1307" s="2" t="s">
        <v>17</v>
      </c>
      <c r="G1307" s="2" t="s">
        <v>18</v>
      </c>
      <c r="H1307" s="2" t="s">
        <v>25</v>
      </c>
      <c r="I1307" s="2" t="s">
        <v>42</v>
      </c>
      <c r="J1307" s="2" t="s">
        <v>43</v>
      </c>
      <c r="K1307" s="2" t="s">
        <v>1084</v>
      </c>
      <c r="L1307" s="3">
        <v>0.51180555555555551</v>
      </c>
      <c r="M1307" s="2" t="s">
        <v>180</v>
      </c>
      <c r="N1307" s="2" t="s">
        <v>500</v>
      </c>
      <c r="O1307" s="2"/>
    </row>
    <row r="1308" spans="1:15" x14ac:dyDescent="0.25">
      <c r="A1308" s="2" t="s">
        <v>15</v>
      </c>
      <c r="B1308" s="2" t="str">
        <f>"FES1162769195"</f>
        <v>FES1162769195</v>
      </c>
      <c r="C1308" s="2" t="s">
        <v>1008</v>
      </c>
      <c r="D1308" s="2">
        <v>1</v>
      </c>
      <c r="E1308" s="2" t="str">
        <f>"2170756383"</f>
        <v>2170756383</v>
      </c>
      <c r="F1308" s="2" t="s">
        <v>17</v>
      </c>
      <c r="G1308" s="2" t="s">
        <v>18</v>
      </c>
      <c r="H1308" s="2" t="s">
        <v>18</v>
      </c>
      <c r="I1308" s="2" t="s">
        <v>50</v>
      </c>
      <c r="J1308" s="2" t="s">
        <v>1122</v>
      </c>
      <c r="K1308" s="2" t="s">
        <v>1084</v>
      </c>
      <c r="L1308" s="3">
        <v>0.375</v>
      </c>
      <c r="M1308" s="2" t="s">
        <v>1165</v>
      </c>
      <c r="N1308" s="2" t="s">
        <v>500</v>
      </c>
      <c r="O1308" s="2"/>
    </row>
    <row r="1309" spans="1:15" x14ac:dyDescent="0.25">
      <c r="A1309" s="2" t="s">
        <v>15</v>
      </c>
      <c r="B1309" s="2" t="str">
        <f>"FES1162769183"</f>
        <v>FES1162769183</v>
      </c>
      <c r="C1309" s="2" t="s">
        <v>1008</v>
      </c>
      <c r="D1309" s="2">
        <v>1</v>
      </c>
      <c r="E1309" s="2" t="str">
        <f>"2170756077"</f>
        <v>2170756077</v>
      </c>
      <c r="F1309" s="2" t="s">
        <v>17</v>
      </c>
      <c r="G1309" s="2" t="s">
        <v>18</v>
      </c>
      <c r="H1309" s="2" t="s">
        <v>18</v>
      </c>
      <c r="I1309" s="2" t="s">
        <v>290</v>
      </c>
      <c r="J1309" s="2" t="s">
        <v>458</v>
      </c>
      <c r="K1309" s="2" t="s">
        <v>1084</v>
      </c>
      <c r="L1309" s="3">
        <v>0.33333333333333331</v>
      </c>
      <c r="M1309" s="2" t="s">
        <v>1123</v>
      </c>
      <c r="N1309" s="2" t="s">
        <v>500</v>
      </c>
      <c r="O1309" s="2"/>
    </row>
    <row r="1310" spans="1:15" x14ac:dyDescent="0.25">
      <c r="A1310" s="2" t="s">
        <v>15</v>
      </c>
      <c r="B1310" s="2" t="str">
        <f>"FES1162769093"</f>
        <v>FES1162769093</v>
      </c>
      <c r="C1310" s="2" t="s">
        <v>1008</v>
      </c>
      <c r="D1310" s="2">
        <v>1</v>
      </c>
      <c r="E1310" s="2" t="str">
        <f>"2170754376"</f>
        <v>2170754376</v>
      </c>
      <c r="F1310" s="2" t="s">
        <v>17</v>
      </c>
      <c r="G1310" s="2" t="s">
        <v>18</v>
      </c>
      <c r="H1310" s="2" t="s">
        <v>25</v>
      </c>
      <c r="I1310" s="2" t="s">
        <v>26</v>
      </c>
      <c r="J1310" s="2" t="s">
        <v>27</v>
      </c>
      <c r="K1310" s="2" t="s">
        <v>1084</v>
      </c>
      <c r="L1310" s="3">
        <v>0.43124999999999997</v>
      </c>
      <c r="M1310" s="2" t="s">
        <v>521</v>
      </c>
      <c r="N1310" s="2" t="s">
        <v>500</v>
      </c>
      <c r="O1310" s="2"/>
    </row>
    <row r="1311" spans="1:15" x14ac:dyDescent="0.25">
      <c r="A1311" s="2" t="s">
        <v>15</v>
      </c>
      <c r="B1311" s="2" t="str">
        <f>"FES1162769130"</f>
        <v>FES1162769130</v>
      </c>
      <c r="C1311" s="2" t="s">
        <v>1008</v>
      </c>
      <c r="D1311" s="2">
        <v>1</v>
      </c>
      <c r="E1311" s="2" t="str">
        <f>"2170754994"</f>
        <v>2170754994</v>
      </c>
      <c r="F1311" s="2" t="s">
        <v>17</v>
      </c>
      <c r="G1311" s="2" t="s">
        <v>18</v>
      </c>
      <c r="H1311" s="2" t="s">
        <v>36</v>
      </c>
      <c r="I1311" s="2" t="s">
        <v>37</v>
      </c>
      <c r="J1311" s="2" t="s">
        <v>55</v>
      </c>
      <c r="K1311" s="2" t="s">
        <v>1084</v>
      </c>
      <c r="L1311" s="3">
        <v>0.32222222222222224</v>
      </c>
      <c r="M1311" s="2" t="s">
        <v>970</v>
      </c>
      <c r="N1311" s="2" t="s">
        <v>500</v>
      </c>
      <c r="O1311" s="2"/>
    </row>
    <row r="1312" spans="1:15" x14ac:dyDescent="0.25">
      <c r="A1312" s="2" t="s">
        <v>15</v>
      </c>
      <c r="B1312" s="2" t="str">
        <f>"FES1162769129"</f>
        <v>FES1162769129</v>
      </c>
      <c r="C1312" s="2" t="s">
        <v>1008</v>
      </c>
      <c r="D1312" s="2">
        <v>1</v>
      </c>
      <c r="E1312" s="2" t="str">
        <f>"2170754991"</f>
        <v>2170754991</v>
      </c>
      <c r="F1312" s="2" t="s">
        <v>17</v>
      </c>
      <c r="G1312" s="2" t="s">
        <v>18</v>
      </c>
      <c r="H1312" s="2" t="s">
        <v>25</v>
      </c>
      <c r="I1312" s="2" t="s">
        <v>26</v>
      </c>
      <c r="J1312" s="2" t="s">
        <v>913</v>
      </c>
      <c r="K1312" s="2" t="s">
        <v>1084</v>
      </c>
      <c r="L1312" s="3">
        <v>0.37638888888888888</v>
      </c>
      <c r="M1312" s="2" t="s">
        <v>965</v>
      </c>
      <c r="N1312" s="2" t="s">
        <v>500</v>
      </c>
      <c r="O1312" s="2"/>
    </row>
    <row r="1313" spans="1:15" x14ac:dyDescent="0.25">
      <c r="A1313" s="2" t="s">
        <v>15</v>
      </c>
      <c r="B1313" s="2" t="str">
        <f>"FES1162769232"</f>
        <v>FES1162769232</v>
      </c>
      <c r="C1313" s="2" t="s">
        <v>1008</v>
      </c>
      <c r="D1313" s="2">
        <v>3</v>
      </c>
      <c r="E1313" s="2" t="str">
        <f>"2170753867"</f>
        <v>2170753867</v>
      </c>
      <c r="F1313" s="2" t="s">
        <v>17</v>
      </c>
      <c r="G1313" s="2" t="s">
        <v>18</v>
      </c>
      <c r="H1313" s="2" t="s">
        <v>19</v>
      </c>
      <c r="I1313" s="2" t="s">
        <v>73</v>
      </c>
      <c r="J1313" s="2" t="s">
        <v>76</v>
      </c>
      <c r="K1313" s="2" t="s">
        <v>1084</v>
      </c>
      <c r="L1313" s="3">
        <v>0.35138888888888892</v>
      </c>
      <c r="M1313" s="2" t="s">
        <v>197</v>
      </c>
      <c r="N1313" s="2" t="s">
        <v>500</v>
      </c>
      <c r="O1313" s="2"/>
    </row>
    <row r="1314" spans="1:15" x14ac:dyDescent="0.25">
      <c r="A1314" s="2" t="s">
        <v>15</v>
      </c>
      <c r="B1314" s="2" t="str">
        <f>"FES1162769062"</f>
        <v>FES1162769062</v>
      </c>
      <c r="C1314" s="2" t="s">
        <v>1008</v>
      </c>
      <c r="D1314" s="2">
        <v>1</v>
      </c>
      <c r="E1314" s="2" t="str">
        <f>"2170752370"</f>
        <v>2170752370</v>
      </c>
      <c r="F1314" s="2" t="s">
        <v>17</v>
      </c>
      <c r="G1314" s="2" t="s">
        <v>18</v>
      </c>
      <c r="H1314" s="2" t="s">
        <v>19</v>
      </c>
      <c r="I1314" s="2" t="s">
        <v>20</v>
      </c>
      <c r="J1314" s="2" t="s">
        <v>767</v>
      </c>
      <c r="K1314" s="2" t="s">
        <v>1084</v>
      </c>
      <c r="L1314" s="3">
        <v>0.33263888888888887</v>
      </c>
      <c r="M1314" s="2" t="s">
        <v>1166</v>
      </c>
      <c r="N1314" s="2" t="s">
        <v>500</v>
      </c>
      <c r="O1314" s="2"/>
    </row>
    <row r="1315" spans="1:15" x14ac:dyDescent="0.25">
      <c r="A1315" s="2" t="s">
        <v>15</v>
      </c>
      <c r="B1315" s="2" t="str">
        <f>"FES1162768801"</f>
        <v>FES1162768801</v>
      </c>
      <c r="C1315" s="2" t="s">
        <v>1008</v>
      </c>
      <c r="D1315" s="2">
        <v>1</v>
      </c>
      <c r="E1315" s="2" t="str">
        <f>"2170754425"</f>
        <v>2170754425</v>
      </c>
      <c r="F1315" s="2" t="s">
        <v>17</v>
      </c>
      <c r="G1315" s="2" t="s">
        <v>18</v>
      </c>
      <c r="H1315" s="2" t="s">
        <v>19</v>
      </c>
      <c r="I1315" s="2" t="s">
        <v>20</v>
      </c>
      <c r="J1315" s="2" t="s">
        <v>1124</v>
      </c>
      <c r="K1315" s="2" t="s">
        <v>1084</v>
      </c>
      <c r="L1315" s="3">
        <v>0.4055555555555555</v>
      </c>
      <c r="M1315" s="2" t="s">
        <v>1167</v>
      </c>
      <c r="N1315" s="2" t="s">
        <v>500</v>
      </c>
      <c r="O1315" s="2"/>
    </row>
    <row r="1316" spans="1:15" x14ac:dyDescent="0.25">
      <c r="A1316" s="2" t="s">
        <v>15</v>
      </c>
      <c r="B1316" s="2" t="str">
        <f>"FES1162769146"</f>
        <v>FES1162769146</v>
      </c>
      <c r="C1316" s="2" t="s">
        <v>1008</v>
      </c>
      <c r="D1316" s="2">
        <v>1</v>
      </c>
      <c r="E1316" s="2" t="str">
        <f>"2170755128"</f>
        <v>2170755128</v>
      </c>
      <c r="F1316" s="2" t="s">
        <v>17</v>
      </c>
      <c r="G1316" s="2" t="s">
        <v>18</v>
      </c>
      <c r="H1316" s="2" t="s">
        <v>25</v>
      </c>
      <c r="I1316" s="2" t="s">
        <v>26</v>
      </c>
      <c r="J1316" s="2" t="s">
        <v>75</v>
      </c>
      <c r="K1316" s="2" t="s">
        <v>1084</v>
      </c>
      <c r="L1316" s="3">
        <v>0.39444444444444443</v>
      </c>
      <c r="M1316" s="2" t="s">
        <v>518</v>
      </c>
      <c r="N1316" s="2" t="s">
        <v>500</v>
      </c>
      <c r="O1316" s="2"/>
    </row>
    <row r="1317" spans="1:15" x14ac:dyDescent="0.25">
      <c r="A1317" s="2" t="s">
        <v>15</v>
      </c>
      <c r="B1317" s="2" t="str">
        <f>"FES1162769097"</f>
        <v>FES1162769097</v>
      </c>
      <c r="C1317" s="2" t="s">
        <v>1008</v>
      </c>
      <c r="D1317" s="2">
        <v>1</v>
      </c>
      <c r="E1317" s="2" t="str">
        <f>"2170754432"</f>
        <v>2170754432</v>
      </c>
      <c r="F1317" s="2" t="s">
        <v>17</v>
      </c>
      <c r="G1317" s="2" t="s">
        <v>18</v>
      </c>
      <c r="H1317" s="2" t="s">
        <v>25</v>
      </c>
      <c r="I1317" s="2" t="s">
        <v>26</v>
      </c>
      <c r="J1317" s="2" t="s">
        <v>474</v>
      </c>
      <c r="K1317" s="2" t="s">
        <v>1084</v>
      </c>
      <c r="L1317" s="3">
        <v>0.41666666666666669</v>
      </c>
      <c r="M1317" s="2" t="s">
        <v>1168</v>
      </c>
      <c r="N1317" s="2" t="s">
        <v>500</v>
      </c>
      <c r="O1317" s="2"/>
    </row>
    <row r="1318" spans="1:15" x14ac:dyDescent="0.25">
      <c r="A1318" s="2" t="s">
        <v>15</v>
      </c>
      <c r="B1318" s="2" t="str">
        <f>"FES1162769111"</f>
        <v>FES1162769111</v>
      </c>
      <c r="C1318" s="2" t="s">
        <v>1008</v>
      </c>
      <c r="D1318" s="2">
        <v>1</v>
      </c>
      <c r="E1318" s="2" t="str">
        <f>"2170754789"</f>
        <v>2170754789</v>
      </c>
      <c r="F1318" s="2" t="s">
        <v>17</v>
      </c>
      <c r="G1318" s="2" t="s">
        <v>18</v>
      </c>
      <c r="H1318" s="2" t="s">
        <v>206</v>
      </c>
      <c r="I1318" s="2" t="s">
        <v>329</v>
      </c>
      <c r="J1318" s="2" t="s">
        <v>349</v>
      </c>
      <c r="K1318" s="2" t="s">
        <v>1084</v>
      </c>
      <c r="L1318" s="3">
        <v>0.4375</v>
      </c>
      <c r="M1318" s="2" t="s">
        <v>1169</v>
      </c>
      <c r="N1318" s="2" t="s">
        <v>500</v>
      </c>
      <c r="O1318" s="2"/>
    </row>
    <row r="1319" spans="1:15" x14ac:dyDescent="0.25">
      <c r="A1319" s="2" t="s">
        <v>15</v>
      </c>
      <c r="B1319" s="2" t="str">
        <f>"FES1162768788"</f>
        <v>FES1162768788</v>
      </c>
      <c r="C1319" s="2" t="s">
        <v>1008</v>
      </c>
      <c r="D1319" s="2">
        <v>1</v>
      </c>
      <c r="E1319" s="2" t="str">
        <f>"2170754299"</f>
        <v>2170754299</v>
      </c>
      <c r="F1319" s="2" t="s">
        <v>17</v>
      </c>
      <c r="G1319" s="2" t="s">
        <v>18</v>
      </c>
      <c r="H1319" s="2" t="s">
        <v>19</v>
      </c>
      <c r="I1319" s="2" t="s">
        <v>111</v>
      </c>
      <c r="J1319" s="2" t="s">
        <v>629</v>
      </c>
      <c r="K1319" s="2" t="s">
        <v>1084</v>
      </c>
      <c r="L1319" s="3">
        <v>0.38055555555555554</v>
      </c>
      <c r="M1319" s="2" t="s">
        <v>1170</v>
      </c>
      <c r="N1319" s="2" t="s">
        <v>500</v>
      </c>
      <c r="O1319" s="2"/>
    </row>
    <row r="1320" spans="1:15" x14ac:dyDescent="0.25">
      <c r="A1320" s="2" t="s">
        <v>15</v>
      </c>
      <c r="B1320" s="2" t="str">
        <f>"FES1162769116"</f>
        <v>FES1162769116</v>
      </c>
      <c r="C1320" s="2" t="s">
        <v>1008</v>
      </c>
      <c r="D1320" s="2">
        <v>1</v>
      </c>
      <c r="E1320" s="2" t="str">
        <f>"2170754864"</f>
        <v>2170754864</v>
      </c>
      <c r="F1320" s="2" t="s">
        <v>17</v>
      </c>
      <c r="G1320" s="2" t="s">
        <v>18</v>
      </c>
      <c r="H1320" s="2" t="s">
        <v>18</v>
      </c>
      <c r="I1320" s="2" t="s">
        <v>63</v>
      </c>
      <c r="J1320" s="2" t="s">
        <v>899</v>
      </c>
      <c r="K1320" s="2" t="s">
        <v>1084</v>
      </c>
      <c r="L1320" s="3">
        <v>0.39583333333333331</v>
      </c>
      <c r="M1320" s="2" t="s">
        <v>1171</v>
      </c>
      <c r="N1320" s="2" t="s">
        <v>500</v>
      </c>
      <c r="O1320" s="2"/>
    </row>
    <row r="1321" spans="1:15" x14ac:dyDescent="0.25">
      <c r="A1321" s="2" t="s">
        <v>15</v>
      </c>
      <c r="B1321" s="2" t="str">
        <f>"FES1162769151"</f>
        <v>FES1162769151</v>
      </c>
      <c r="C1321" s="2" t="s">
        <v>1008</v>
      </c>
      <c r="D1321" s="2">
        <v>1</v>
      </c>
      <c r="E1321" s="2" t="str">
        <f>"2170755153"</f>
        <v>2170755153</v>
      </c>
      <c r="F1321" s="2" t="s">
        <v>17</v>
      </c>
      <c r="G1321" s="2" t="s">
        <v>18</v>
      </c>
      <c r="H1321" s="2" t="s">
        <v>18</v>
      </c>
      <c r="I1321" s="2" t="s">
        <v>48</v>
      </c>
      <c r="J1321" s="2" t="s">
        <v>875</v>
      </c>
      <c r="K1321" s="2" t="s">
        <v>1084</v>
      </c>
      <c r="L1321" s="3">
        <v>0.375</v>
      </c>
      <c r="M1321" s="2" t="s">
        <v>945</v>
      </c>
      <c r="N1321" s="2" t="s">
        <v>500</v>
      </c>
      <c r="O1321" s="2"/>
    </row>
    <row r="1322" spans="1:15" x14ac:dyDescent="0.25">
      <c r="A1322" s="2" t="s">
        <v>15</v>
      </c>
      <c r="B1322" s="2" t="str">
        <f>"FES1162769118"</f>
        <v>FES1162769118</v>
      </c>
      <c r="C1322" s="2" t="s">
        <v>1008</v>
      </c>
      <c r="D1322" s="2">
        <v>1</v>
      </c>
      <c r="E1322" s="2" t="str">
        <f>"2170754895"</f>
        <v>2170754895</v>
      </c>
      <c r="F1322" s="2" t="s">
        <v>17</v>
      </c>
      <c r="G1322" s="2" t="s">
        <v>18</v>
      </c>
      <c r="H1322" s="2" t="s">
        <v>18</v>
      </c>
      <c r="I1322" s="2" t="s">
        <v>57</v>
      </c>
      <c r="J1322" s="2" t="s">
        <v>92</v>
      </c>
      <c r="K1322" s="2" t="s">
        <v>1084</v>
      </c>
      <c r="L1322" s="3">
        <v>0.31319444444444444</v>
      </c>
      <c r="M1322" s="2" t="s">
        <v>693</v>
      </c>
      <c r="N1322" s="2" t="s">
        <v>500</v>
      </c>
      <c r="O1322" s="2"/>
    </row>
    <row r="1323" spans="1:15" x14ac:dyDescent="0.25">
      <c r="A1323" s="2" t="s">
        <v>15</v>
      </c>
      <c r="B1323" s="2" t="str">
        <f>"FES1162769163"</f>
        <v>FES1162769163</v>
      </c>
      <c r="C1323" s="2" t="s">
        <v>1008</v>
      </c>
      <c r="D1323" s="2">
        <v>1</v>
      </c>
      <c r="E1323" s="2" t="str">
        <f>"2170755383"</f>
        <v>2170755383</v>
      </c>
      <c r="F1323" s="2" t="s">
        <v>17</v>
      </c>
      <c r="G1323" s="2" t="s">
        <v>18</v>
      </c>
      <c r="H1323" s="2" t="s">
        <v>18</v>
      </c>
      <c r="I1323" s="2" t="s">
        <v>52</v>
      </c>
      <c r="J1323" s="2" t="s">
        <v>53</v>
      </c>
      <c r="K1323" s="2" t="s">
        <v>1084</v>
      </c>
      <c r="L1323" s="3">
        <v>0.47916666666666669</v>
      </c>
      <c r="M1323" s="2" t="s">
        <v>1158</v>
      </c>
      <c r="N1323" s="2" t="s">
        <v>500</v>
      </c>
      <c r="O1323" s="2"/>
    </row>
    <row r="1324" spans="1:15" x14ac:dyDescent="0.25">
      <c r="A1324" s="2" t="s">
        <v>15</v>
      </c>
      <c r="B1324" s="2" t="str">
        <f>"FES1162769135"</f>
        <v>FES1162769135</v>
      </c>
      <c r="C1324" s="2" t="s">
        <v>1008</v>
      </c>
      <c r="D1324" s="2">
        <v>1</v>
      </c>
      <c r="E1324" s="2" t="str">
        <f>"2170755032"</f>
        <v>2170755032</v>
      </c>
      <c r="F1324" s="2" t="s">
        <v>17</v>
      </c>
      <c r="G1324" s="2" t="s">
        <v>18</v>
      </c>
      <c r="H1324" s="2" t="s">
        <v>18</v>
      </c>
      <c r="I1324" s="2" t="s">
        <v>390</v>
      </c>
      <c r="J1324" s="2" t="s">
        <v>391</v>
      </c>
      <c r="K1324" s="2" t="s">
        <v>1084</v>
      </c>
      <c r="L1324" s="3">
        <v>0.3576388888888889</v>
      </c>
      <c r="M1324" s="2" t="s">
        <v>1172</v>
      </c>
      <c r="N1324" s="2" t="s">
        <v>500</v>
      </c>
      <c r="O1324" s="2"/>
    </row>
    <row r="1325" spans="1:15" x14ac:dyDescent="0.25">
      <c r="A1325" s="2" t="s">
        <v>15</v>
      </c>
      <c r="B1325" s="2" t="str">
        <f>"FES1162769081"</f>
        <v>FES1162769081</v>
      </c>
      <c r="C1325" s="2" t="s">
        <v>1008</v>
      </c>
      <c r="D1325" s="2">
        <v>1</v>
      </c>
      <c r="E1325" s="2" t="str">
        <f>"2170753796"</f>
        <v>2170753796</v>
      </c>
      <c r="F1325" s="2" t="s">
        <v>17</v>
      </c>
      <c r="G1325" s="2" t="s">
        <v>18</v>
      </c>
      <c r="H1325" s="2" t="s">
        <v>88</v>
      </c>
      <c r="I1325" s="2" t="s">
        <v>109</v>
      </c>
      <c r="J1325" s="2" t="s">
        <v>614</v>
      </c>
      <c r="K1325" s="2" t="s">
        <v>1084</v>
      </c>
      <c r="L1325" s="3">
        <v>0.52361111111111114</v>
      </c>
      <c r="M1325" s="2" t="s">
        <v>1153</v>
      </c>
      <c r="N1325" s="2" t="s">
        <v>500</v>
      </c>
      <c r="O1325" s="2"/>
    </row>
    <row r="1326" spans="1:15" x14ac:dyDescent="0.25">
      <c r="A1326" s="2" t="s">
        <v>15</v>
      </c>
      <c r="B1326" s="2" t="str">
        <f>"FES1162769145"</f>
        <v>FES1162769145</v>
      </c>
      <c r="C1326" s="2" t="s">
        <v>1008</v>
      </c>
      <c r="D1326" s="2">
        <v>1</v>
      </c>
      <c r="E1326" s="2" t="str">
        <f>"2170755123"</f>
        <v>2170755123</v>
      </c>
      <c r="F1326" s="2" t="s">
        <v>17</v>
      </c>
      <c r="G1326" s="2" t="s">
        <v>18</v>
      </c>
      <c r="H1326" s="2" t="s">
        <v>25</v>
      </c>
      <c r="I1326" s="2" t="s">
        <v>26</v>
      </c>
      <c r="J1326" s="2" t="s">
        <v>654</v>
      </c>
      <c r="K1326" s="2" t="s">
        <v>1084</v>
      </c>
      <c r="L1326" s="3">
        <v>0.36805555555555558</v>
      </c>
      <c r="M1326" s="2" t="s">
        <v>1173</v>
      </c>
      <c r="N1326" s="2" t="s">
        <v>500</v>
      </c>
      <c r="O1326" s="2"/>
    </row>
    <row r="1327" spans="1:15" x14ac:dyDescent="0.25">
      <c r="A1327" s="2" t="s">
        <v>15</v>
      </c>
      <c r="B1327" s="2" t="str">
        <f>"FES1162769150"</f>
        <v>FES1162769150</v>
      </c>
      <c r="C1327" s="2" t="s">
        <v>1008</v>
      </c>
      <c r="D1327" s="2">
        <v>1</v>
      </c>
      <c r="E1327" s="2" t="str">
        <f>"2170755151"</f>
        <v>2170755151</v>
      </c>
      <c r="F1327" s="2" t="s">
        <v>17</v>
      </c>
      <c r="G1327" s="2" t="s">
        <v>18</v>
      </c>
      <c r="H1327" s="2" t="s">
        <v>18</v>
      </c>
      <c r="I1327" s="2" t="s">
        <v>46</v>
      </c>
      <c r="J1327" s="2" t="s">
        <v>59</v>
      </c>
      <c r="K1327" s="2" t="s">
        <v>1190</v>
      </c>
      <c r="L1327" s="3">
        <v>0.33333333333333331</v>
      </c>
      <c r="M1327" s="2" t="s">
        <v>60</v>
      </c>
      <c r="N1327" s="2" t="s">
        <v>500</v>
      </c>
      <c r="O1327" s="2"/>
    </row>
    <row r="1328" spans="1:15" x14ac:dyDescent="0.25">
      <c r="A1328" s="2" t="s">
        <v>15</v>
      </c>
      <c r="B1328" s="2" t="str">
        <f>"FES1162769069"</f>
        <v>FES1162769069</v>
      </c>
      <c r="C1328" s="2" t="s">
        <v>1008</v>
      </c>
      <c r="D1328" s="2">
        <v>1</v>
      </c>
      <c r="E1328" s="2" t="str">
        <f>"2170753239"</f>
        <v>2170753239</v>
      </c>
      <c r="F1328" s="2" t="s">
        <v>17</v>
      </c>
      <c r="G1328" s="2" t="s">
        <v>18</v>
      </c>
      <c r="H1328" s="2" t="s">
        <v>88</v>
      </c>
      <c r="I1328" s="2" t="s">
        <v>109</v>
      </c>
      <c r="J1328" s="2" t="s">
        <v>1125</v>
      </c>
      <c r="K1328" s="2" t="s">
        <v>1084</v>
      </c>
      <c r="L1328" s="3">
        <v>0.40972222222222227</v>
      </c>
      <c r="M1328" s="2" t="s">
        <v>1174</v>
      </c>
      <c r="N1328" s="2" t="s">
        <v>500</v>
      </c>
      <c r="O1328" s="2"/>
    </row>
    <row r="1329" spans="1:15" x14ac:dyDescent="0.25">
      <c r="A1329" s="2" t="s">
        <v>15</v>
      </c>
      <c r="B1329" s="2" t="str">
        <f>"FES1162769152"</f>
        <v>FES1162769152</v>
      </c>
      <c r="C1329" s="2" t="s">
        <v>1008</v>
      </c>
      <c r="D1329" s="2">
        <v>1</v>
      </c>
      <c r="E1329" s="2" t="str">
        <f>"2170755212"</f>
        <v>2170755212</v>
      </c>
      <c r="F1329" s="2" t="s">
        <v>17</v>
      </c>
      <c r="G1329" s="2" t="s">
        <v>18</v>
      </c>
      <c r="H1329" s="2" t="s">
        <v>88</v>
      </c>
      <c r="I1329" s="2" t="s">
        <v>612</v>
      </c>
      <c r="J1329" s="2" t="s">
        <v>1126</v>
      </c>
      <c r="K1329" s="2" t="s">
        <v>1190</v>
      </c>
      <c r="L1329" s="3">
        <v>0.64583333333333337</v>
      </c>
      <c r="M1329" s="2" t="s">
        <v>1250</v>
      </c>
      <c r="N1329" s="2" t="s">
        <v>500</v>
      </c>
      <c r="O1329" s="2"/>
    </row>
    <row r="1330" spans="1:15" x14ac:dyDescent="0.25">
      <c r="A1330" s="2" t="s">
        <v>15</v>
      </c>
      <c r="B1330" s="2" t="str">
        <f>"FES1162769059"</f>
        <v>FES1162769059</v>
      </c>
      <c r="C1330" s="2" t="s">
        <v>1008</v>
      </c>
      <c r="D1330" s="2">
        <v>1</v>
      </c>
      <c r="E1330" s="2" t="str">
        <f>"2170751649"</f>
        <v>2170751649</v>
      </c>
      <c r="F1330" s="2" t="s">
        <v>17</v>
      </c>
      <c r="G1330" s="2" t="s">
        <v>18</v>
      </c>
      <c r="H1330" s="2" t="s">
        <v>484</v>
      </c>
      <c r="I1330" s="2" t="s">
        <v>485</v>
      </c>
      <c r="J1330" s="2" t="s">
        <v>486</v>
      </c>
      <c r="K1330" s="2" t="s">
        <v>1084</v>
      </c>
      <c r="L1330" s="3">
        <v>0.39027777777777778</v>
      </c>
      <c r="M1330" s="2" t="s">
        <v>1175</v>
      </c>
      <c r="N1330" s="2" t="s">
        <v>500</v>
      </c>
      <c r="O1330" s="2"/>
    </row>
    <row r="1331" spans="1:15" x14ac:dyDescent="0.25">
      <c r="A1331" s="2" t="s">
        <v>15</v>
      </c>
      <c r="B1331" s="2" t="str">
        <f>"FES1162769078"</f>
        <v>FES1162769078</v>
      </c>
      <c r="C1331" s="2" t="s">
        <v>1008</v>
      </c>
      <c r="D1331" s="2">
        <v>1</v>
      </c>
      <c r="E1331" s="2" t="str">
        <f>"2170753699"</f>
        <v>2170753699</v>
      </c>
      <c r="F1331" s="2" t="s">
        <v>17</v>
      </c>
      <c r="G1331" s="2" t="s">
        <v>18</v>
      </c>
      <c r="H1331" s="2" t="s">
        <v>36</v>
      </c>
      <c r="I1331" s="2" t="s">
        <v>496</v>
      </c>
      <c r="J1331" s="2" t="s">
        <v>497</v>
      </c>
      <c r="K1331" s="2" t="s">
        <v>1084</v>
      </c>
      <c r="L1331" s="3">
        <v>0.70138888888888884</v>
      </c>
      <c r="M1331" s="2" t="s">
        <v>1176</v>
      </c>
      <c r="N1331" s="2" t="s">
        <v>500</v>
      </c>
      <c r="O1331" s="2"/>
    </row>
    <row r="1332" spans="1:15" x14ac:dyDescent="0.25">
      <c r="A1332" s="2" t="s">
        <v>15</v>
      </c>
      <c r="B1332" s="2" t="str">
        <f>"009940283527"</f>
        <v>009940283527</v>
      </c>
      <c r="C1332" s="2" t="s">
        <v>1008</v>
      </c>
      <c r="D1332" s="2">
        <v>1</v>
      </c>
      <c r="E1332" s="2" t="str">
        <f>"2170754708 REFER:1162766514"</f>
        <v>2170754708 REFER:1162766514</v>
      </c>
      <c r="F1332" s="2" t="s">
        <v>17</v>
      </c>
      <c r="G1332" s="2" t="s">
        <v>18</v>
      </c>
      <c r="H1332" s="2" t="s">
        <v>18</v>
      </c>
      <c r="I1332" s="2" t="s">
        <v>459</v>
      </c>
      <c r="J1332" s="2" t="s">
        <v>460</v>
      </c>
      <c r="K1332" s="2" t="s">
        <v>1190</v>
      </c>
      <c r="L1332" s="3">
        <v>0.41666666666666669</v>
      </c>
      <c r="M1332" s="2" t="s">
        <v>1251</v>
      </c>
      <c r="N1332" s="2" t="s">
        <v>500</v>
      </c>
      <c r="O1332" s="2"/>
    </row>
    <row r="1333" spans="1:15" x14ac:dyDescent="0.25">
      <c r="A1333" s="2" t="s">
        <v>15</v>
      </c>
      <c r="B1333" s="2" t="str">
        <f>"FES1162769202"</f>
        <v>FES1162769202</v>
      </c>
      <c r="C1333" s="2" t="s">
        <v>1008</v>
      </c>
      <c r="D1333" s="2">
        <v>1</v>
      </c>
      <c r="E1333" s="2" t="str">
        <f>"2170756472"</f>
        <v>2170756472</v>
      </c>
      <c r="F1333" s="2" t="s">
        <v>17</v>
      </c>
      <c r="G1333" s="2" t="s">
        <v>18</v>
      </c>
      <c r="H1333" s="2" t="s">
        <v>36</v>
      </c>
      <c r="I1333" s="2" t="s">
        <v>37</v>
      </c>
      <c r="J1333" s="2" t="s">
        <v>102</v>
      </c>
      <c r="K1333" s="2" t="s">
        <v>1084</v>
      </c>
      <c r="L1333" s="3">
        <v>0.3743055555555555</v>
      </c>
      <c r="M1333" s="2" t="s">
        <v>219</v>
      </c>
      <c r="N1333" s="2" t="s">
        <v>500</v>
      </c>
      <c r="O1333" s="2"/>
    </row>
    <row r="1334" spans="1:15" x14ac:dyDescent="0.25">
      <c r="A1334" s="2" t="s">
        <v>15</v>
      </c>
      <c r="B1334" s="2" t="str">
        <f>"FES1162769137"</f>
        <v>FES1162769137</v>
      </c>
      <c r="C1334" s="2" t="s">
        <v>1008</v>
      </c>
      <c r="D1334" s="2">
        <v>1</v>
      </c>
      <c r="E1334" s="2" t="str">
        <f>"2170755051"</f>
        <v>2170755051</v>
      </c>
      <c r="F1334" s="2" t="s">
        <v>17</v>
      </c>
      <c r="G1334" s="2" t="s">
        <v>18</v>
      </c>
      <c r="H1334" s="2" t="s">
        <v>88</v>
      </c>
      <c r="I1334" s="2" t="s">
        <v>109</v>
      </c>
      <c r="J1334" s="2" t="s">
        <v>1127</v>
      </c>
      <c r="K1334" s="2" t="s">
        <v>1084</v>
      </c>
      <c r="L1334" s="3">
        <v>0.43541666666666662</v>
      </c>
      <c r="M1334" s="2" t="s">
        <v>1177</v>
      </c>
      <c r="N1334" s="2" t="s">
        <v>500</v>
      </c>
      <c r="O1334" s="2"/>
    </row>
    <row r="1335" spans="1:15" x14ac:dyDescent="0.25">
      <c r="A1335" s="2" t="s">
        <v>15</v>
      </c>
      <c r="B1335" s="2" t="str">
        <f>"FES1162769133"</f>
        <v>FES1162769133</v>
      </c>
      <c r="C1335" s="2" t="s">
        <v>1008</v>
      </c>
      <c r="D1335" s="2">
        <v>1</v>
      </c>
      <c r="E1335" s="2" t="str">
        <f>"2170755006"</f>
        <v>2170755006</v>
      </c>
      <c r="F1335" s="2" t="s">
        <v>17</v>
      </c>
      <c r="G1335" s="2" t="s">
        <v>18</v>
      </c>
      <c r="H1335" s="2" t="s">
        <v>18</v>
      </c>
      <c r="I1335" s="2" t="s">
        <v>46</v>
      </c>
      <c r="J1335" s="2" t="s">
        <v>1128</v>
      </c>
      <c r="K1335" s="2" t="s">
        <v>1084</v>
      </c>
      <c r="L1335" s="3">
        <v>0.36458333333333331</v>
      </c>
      <c r="M1335" s="2" t="s">
        <v>1178</v>
      </c>
      <c r="N1335" s="2" t="s">
        <v>500</v>
      </c>
      <c r="O1335" s="2"/>
    </row>
    <row r="1336" spans="1:15" x14ac:dyDescent="0.25">
      <c r="A1336" s="2" t="s">
        <v>15</v>
      </c>
      <c r="B1336" s="2" t="str">
        <f>"FES1162769087"</f>
        <v>FES1162769087</v>
      </c>
      <c r="C1336" s="2" t="s">
        <v>1008</v>
      </c>
      <c r="D1336" s="2">
        <v>1</v>
      </c>
      <c r="E1336" s="2" t="str">
        <f>"2170753898"</f>
        <v>2170753898</v>
      </c>
      <c r="F1336" s="2" t="s">
        <v>17</v>
      </c>
      <c r="G1336" s="2" t="s">
        <v>18</v>
      </c>
      <c r="H1336" s="2" t="s">
        <v>88</v>
      </c>
      <c r="I1336" s="2" t="s">
        <v>109</v>
      </c>
      <c r="J1336" s="2" t="s">
        <v>1021</v>
      </c>
      <c r="K1336" s="2" t="s">
        <v>1084</v>
      </c>
      <c r="L1336" s="3">
        <v>0.41666666666666669</v>
      </c>
      <c r="M1336" s="2" t="s">
        <v>1179</v>
      </c>
      <c r="N1336" s="2" t="s">
        <v>500</v>
      </c>
      <c r="O1336" s="2"/>
    </row>
    <row r="1337" spans="1:15" x14ac:dyDescent="0.25">
      <c r="A1337" s="2" t="s">
        <v>15</v>
      </c>
      <c r="B1337" s="2" t="str">
        <f>"FES1162769166"</f>
        <v>FES1162769166</v>
      </c>
      <c r="C1337" s="2" t="s">
        <v>1008</v>
      </c>
      <c r="D1337" s="2">
        <v>1</v>
      </c>
      <c r="E1337" s="2" t="str">
        <f>"2170755493"</f>
        <v>2170755493</v>
      </c>
      <c r="F1337" s="2" t="s">
        <v>17</v>
      </c>
      <c r="G1337" s="2" t="s">
        <v>18</v>
      </c>
      <c r="H1337" s="2" t="s">
        <v>18</v>
      </c>
      <c r="I1337" s="2" t="s">
        <v>46</v>
      </c>
      <c r="J1337" s="2" t="s">
        <v>139</v>
      </c>
      <c r="K1337" s="2" t="s">
        <v>1084</v>
      </c>
      <c r="L1337" s="3">
        <v>0.34375</v>
      </c>
      <c r="M1337" s="2" t="s">
        <v>838</v>
      </c>
      <c r="N1337" s="2" t="s">
        <v>500</v>
      </c>
      <c r="O1337" s="2"/>
    </row>
    <row r="1338" spans="1:15" x14ac:dyDescent="0.25">
      <c r="A1338" s="2" t="s">
        <v>15</v>
      </c>
      <c r="B1338" s="2" t="str">
        <f>"FES1162769178"</f>
        <v>FES1162769178</v>
      </c>
      <c r="C1338" s="2" t="s">
        <v>1008</v>
      </c>
      <c r="D1338" s="2">
        <v>1</v>
      </c>
      <c r="E1338" s="2" t="str">
        <f>"2170755933"</f>
        <v>2170755933</v>
      </c>
      <c r="F1338" s="2" t="s">
        <v>17</v>
      </c>
      <c r="G1338" s="2" t="s">
        <v>18</v>
      </c>
      <c r="H1338" s="2" t="s">
        <v>18</v>
      </c>
      <c r="I1338" s="2" t="s">
        <v>46</v>
      </c>
      <c r="J1338" s="2" t="s">
        <v>426</v>
      </c>
      <c r="K1338" s="2" t="s">
        <v>1084</v>
      </c>
      <c r="L1338" s="3">
        <v>0.39166666666666666</v>
      </c>
      <c r="M1338" s="2" t="s">
        <v>531</v>
      </c>
      <c r="N1338" s="2" t="s">
        <v>500</v>
      </c>
      <c r="O1338" s="2"/>
    </row>
    <row r="1339" spans="1:15" x14ac:dyDescent="0.25">
      <c r="A1339" s="2" t="s">
        <v>15</v>
      </c>
      <c r="B1339" s="2" t="str">
        <f>"FES1162769072"</f>
        <v>FES1162769072</v>
      </c>
      <c r="C1339" s="2" t="s">
        <v>1008</v>
      </c>
      <c r="D1339" s="2">
        <v>1</v>
      </c>
      <c r="E1339" s="2" t="str">
        <f>"2170753278"</f>
        <v>2170753278</v>
      </c>
      <c r="F1339" s="2" t="s">
        <v>17</v>
      </c>
      <c r="G1339" s="2" t="s">
        <v>18</v>
      </c>
      <c r="H1339" s="2" t="s">
        <v>36</v>
      </c>
      <c r="I1339" s="2" t="s">
        <v>37</v>
      </c>
      <c r="J1339" s="2" t="s">
        <v>162</v>
      </c>
      <c r="K1339" s="2" t="s">
        <v>1084</v>
      </c>
      <c r="L1339" s="3">
        <v>0.3520833333333333</v>
      </c>
      <c r="M1339" s="2" t="s">
        <v>268</v>
      </c>
      <c r="N1339" s="2" t="s">
        <v>500</v>
      </c>
      <c r="O1339" s="2"/>
    </row>
    <row r="1340" spans="1:15" x14ac:dyDescent="0.25">
      <c r="A1340" s="2" t="s">
        <v>15</v>
      </c>
      <c r="B1340" s="2" t="str">
        <f>"FES1162769132"</f>
        <v>FES1162769132</v>
      </c>
      <c r="C1340" s="2" t="s">
        <v>1008</v>
      </c>
      <c r="D1340" s="2">
        <v>1</v>
      </c>
      <c r="E1340" s="2" t="str">
        <f>"2170755000"</f>
        <v>2170755000</v>
      </c>
      <c r="F1340" s="2" t="s">
        <v>17</v>
      </c>
      <c r="G1340" s="2" t="s">
        <v>18</v>
      </c>
      <c r="H1340" s="2" t="s">
        <v>88</v>
      </c>
      <c r="I1340" s="2" t="s">
        <v>109</v>
      </c>
      <c r="J1340" s="2" t="s">
        <v>110</v>
      </c>
      <c r="K1340" s="2" t="s">
        <v>1084</v>
      </c>
      <c r="L1340" s="3">
        <v>0.3833333333333333</v>
      </c>
      <c r="M1340" s="2" t="s">
        <v>224</v>
      </c>
      <c r="N1340" s="2" t="s">
        <v>500</v>
      </c>
      <c r="O1340" s="2"/>
    </row>
    <row r="1341" spans="1:15" x14ac:dyDescent="0.25">
      <c r="A1341" s="2" t="s">
        <v>15</v>
      </c>
      <c r="B1341" s="2" t="str">
        <f>"FES1162769139"</f>
        <v>FES1162769139</v>
      </c>
      <c r="C1341" s="2" t="s">
        <v>1008</v>
      </c>
      <c r="D1341" s="2">
        <v>1</v>
      </c>
      <c r="E1341" s="2" t="str">
        <f>"2170755066"</f>
        <v>2170755066</v>
      </c>
      <c r="F1341" s="2" t="s">
        <v>17</v>
      </c>
      <c r="G1341" s="2" t="s">
        <v>18</v>
      </c>
      <c r="H1341" s="2" t="s">
        <v>36</v>
      </c>
      <c r="I1341" s="2" t="s">
        <v>37</v>
      </c>
      <c r="J1341" s="2" t="s">
        <v>55</v>
      </c>
      <c r="K1341" s="2" t="s">
        <v>1084</v>
      </c>
      <c r="L1341" s="3">
        <v>0.31597222222222221</v>
      </c>
      <c r="M1341" s="2" t="s">
        <v>970</v>
      </c>
      <c r="N1341" s="2" t="s">
        <v>500</v>
      </c>
      <c r="O1341" s="2"/>
    </row>
    <row r="1342" spans="1:15" x14ac:dyDescent="0.25">
      <c r="A1342" s="2" t="s">
        <v>15</v>
      </c>
      <c r="B1342" s="2" t="str">
        <f>"FES1162769181"</f>
        <v>FES1162769181</v>
      </c>
      <c r="C1342" s="2" t="s">
        <v>1008</v>
      </c>
      <c r="D1342" s="2">
        <v>1</v>
      </c>
      <c r="E1342" s="2" t="str">
        <f>"2170756061"</f>
        <v>2170756061</v>
      </c>
      <c r="F1342" s="2" t="s">
        <v>17</v>
      </c>
      <c r="G1342" s="2" t="s">
        <v>18</v>
      </c>
      <c r="H1342" s="2" t="s">
        <v>25</v>
      </c>
      <c r="I1342" s="2" t="s">
        <v>26</v>
      </c>
      <c r="J1342" s="2" t="s">
        <v>27</v>
      </c>
      <c r="K1342" s="2" t="s">
        <v>1084</v>
      </c>
      <c r="L1342" s="3">
        <v>0.43055555555555558</v>
      </c>
      <c r="M1342" s="2" t="s">
        <v>521</v>
      </c>
      <c r="N1342" s="2" t="s">
        <v>500</v>
      </c>
      <c r="O1342" s="2"/>
    </row>
    <row r="1343" spans="1:15" x14ac:dyDescent="0.25">
      <c r="A1343" s="2" t="s">
        <v>15</v>
      </c>
      <c r="B1343" s="2" t="str">
        <f>"FES1162769168"</f>
        <v>FES1162769168</v>
      </c>
      <c r="C1343" s="2" t="s">
        <v>1008</v>
      </c>
      <c r="D1343" s="2">
        <v>1</v>
      </c>
      <c r="E1343" s="2" t="str">
        <f>"2170755568"</f>
        <v>2170755568</v>
      </c>
      <c r="F1343" s="2" t="s">
        <v>17</v>
      </c>
      <c r="G1343" s="2" t="s">
        <v>18</v>
      </c>
      <c r="H1343" s="2" t="s">
        <v>25</v>
      </c>
      <c r="I1343" s="2" t="s">
        <v>26</v>
      </c>
      <c r="J1343" s="2" t="s">
        <v>100</v>
      </c>
      <c r="K1343" s="2" t="s">
        <v>1084</v>
      </c>
      <c r="L1343" s="3">
        <v>0.34861111111111115</v>
      </c>
      <c r="M1343" s="2" t="s">
        <v>844</v>
      </c>
      <c r="N1343" s="2" t="s">
        <v>500</v>
      </c>
      <c r="O1343" s="2"/>
    </row>
    <row r="1344" spans="1:15" x14ac:dyDescent="0.25">
      <c r="A1344" s="2" t="s">
        <v>15</v>
      </c>
      <c r="B1344" s="2" t="str">
        <f>"FES1162769161"</f>
        <v>FES1162769161</v>
      </c>
      <c r="C1344" s="2" t="s">
        <v>1008</v>
      </c>
      <c r="D1344" s="2">
        <v>1</v>
      </c>
      <c r="E1344" s="2" t="str">
        <f>"2170755297"</f>
        <v>2170755297</v>
      </c>
      <c r="F1344" s="2" t="s">
        <v>17</v>
      </c>
      <c r="G1344" s="2" t="s">
        <v>18</v>
      </c>
      <c r="H1344" s="2" t="s">
        <v>25</v>
      </c>
      <c r="I1344" s="2" t="s">
        <v>42</v>
      </c>
      <c r="J1344" s="2" t="s">
        <v>639</v>
      </c>
      <c r="K1344" s="2" t="s">
        <v>1084</v>
      </c>
      <c r="L1344" s="3">
        <v>0.50624999999999998</v>
      </c>
      <c r="M1344" s="2" t="s">
        <v>1180</v>
      </c>
      <c r="N1344" s="2" t="s">
        <v>500</v>
      </c>
      <c r="O1344" s="2"/>
    </row>
    <row r="1345" spans="1:15" x14ac:dyDescent="0.25">
      <c r="A1345" s="2" t="s">
        <v>15</v>
      </c>
      <c r="B1345" s="2" t="str">
        <f>"FES1162769167"</f>
        <v>FES1162769167</v>
      </c>
      <c r="C1345" s="2" t="s">
        <v>1008</v>
      </c>
      <c r="D1345" s="2">
        <v>1</v>
      </c>
      <c r="E1345" s="2" t="str">
        <f>"2170755544"</f>
        <v>2170755544</v>
      </c>
      <c r="F1345" s="2" t="s">
        <v>17</v>
      </c>
      <c r="G1345" s="2" t="s">
        <v>18</v>
      </c>
      <c r="H1345" s="2" t="s">
        <v>30</v>
      </c>
      <c r="I1345" s="2" t="s">
        <v>147</v>
      </c>
      <c r="J1345" s="2" t="s">
        <v>148</v>
      </c>
      <c r="K1345" s="2" t="s">
        <v>1084</v>
      </c>
      <c r="L1345" s="3">
        <v>0.42708333333333331</v>
      </c>
      <c r="M1345" s="2" t="s">
        <v>555</v>
      </c>
      <c r="N1345" s="2" t="s">
        <v>500</v>
      </c>
      <c r="O1345" s="2"/>
    </row>
    <row r="1346" spans="1:15" x14ac:dyDescent="0.25">
      <c r="A1346" s="2" t="s">
        <v>15</v>
      </c>
      <c r="B1346" s="2" t="str">
        <f>"FES1162769184"</f>
        <v>FES1162769184</v>
      </c>
      <c r="C1346" s="2" t="s">
        <v>1008</v>
      </c>
      <c r="D1346" s="2">
        <v>1</v>
      </c>
      <c r="E1346" s="2" t="str">
        <f>"2170756107"</f>
        <v>2170756107</v>
      </c>
      <c r="F1346" s="2" t="s">
        <v>17</v>
      </c>
      <c r="G1346" s="2" t="s">
        <v>18</v>
      </c>
      <c r="H1346" s="2" t="s">
        <v>19</v>
      </c>
      <c r="I1346" s="2" t="s">
        <v>20</v>
      </c>
      <c r="J1346" s="2" t="s">
        <v>428</v>
      </c>
      <c r="K1346" s="2" t="s">
        <v>1084</v>
      </c>
      <c r="L1346" s="3">
        <v>0.3923611111111111</v>
      </c>
      <c r="M1346" s="2" t="s">
        <v>533</v>
      </c>
      <c r="N1346" s="2" t="s">
        <v>500</v>
      </c>
      <c r="O1346" s="2"/>
    </row>
    <row r="1347" spans="1:15" x14ac:dyDescent="0.25">
      <c r="A1347" s="2" t="s">
        <v>15</v>
      </c>
      <c r="B1347" s="2" t="str">
        <f>"FES1162769114"</f>
        <v>FES1162769114</v>
      </c>
      <c r="C1347" s="2" t="s">
        <v>1008</v>
      </c>
      <c r="D1347" s="2">
        <v>1</v>
      </c>
      <c r="E1347" s="2" t="str">
        <f>"2170754862"</f>
        <v>2170754862</v>
      </c>
      <c r="F1347" s="2" t="s">
        <v>17</v>
      </c>
      <c r="G1347" s="2" t="s">
        <v>18</v>
      </c>
      <c r="H1347" s="2" t="s">
        <v>18</v>
      </c>
      <c r="I1347" s="2" t="s">
        <v>50</v>
      </c>
      <c r="J1347" s="2" t="s">
        <v>641</v>
      </c>
      <c r="K1347" s="2" t="s">
        <v>1084</v>
      </c>
      <c r="L1347" s="3">
        <v>0.41666666666666669</v>
      </c>
      <c r="M1347" s="2" t="s">
        <v>1181</v>
      </c>
      <c r="N1347" s="2" t="s">
        <v>500</v>
      </c>
      <c r="O1347" s="2"/>
    </row>
    <row r="1348" spans="1:15" x14ac:dyDescent="0.25">
      <c r="A1348" s="2" t="s">
        <v>15</v>
      </c>
      <c r="B1348" s="2" t="str">
        <f>"FES1162769126"</f>
        <v>FES1162769126</v>
      </c>
      <c r="C1348" s="2" t="s">
        <v>1008</v>
      </c>
      <c r="D1348" s="2">
        <v>1</v>
      </c>
      <c r="E1348" s="2" t="str">
        <f>"2170754965"</f>
        <v>2170754965</v>
      </c>
      <c r="F1348" s="2" t="s">
        <v>17</v>
      </c>
      <c r="G1348" s="2" t="s">
        <v>18</v>
      </c>
      <c r="H1348" s="2" t="s">
        <v>36</v>
      </c>
      <c r="I1348" s="2" t="s">
        <v>37</v>
      </c>
      <c r="J1348" s="2" t="s">
        <v>272</v>
      </c>
      <c r="K1348" s="2" t="s">
        <v>1084</v>
      </c>
      <c r="L1348" s="3">
        <v>0.40138888888888885</v>
      </c>
      <c r="M1348" s="2" t="s">
        <v>538</v>
      </c>
      <c r="N1348" s="2" t="s">
        <v>500</v>
      </c>
      <c r="O1348" s="2"/>
    </row>
    <row r="1349" spans="1:15" x14ac:dyDescent="0.25">
      <c r="A1349" s="2" t="s">
        <v>15</v>
      </c>
      <c r="B1349" s="2" t="str">
        <f>"FES1162769066"</f>
        <v>FES1162769066</v>
      </c>
      <c r="C1349" s="2" t="s">
        <v>1008</v>
      </c>
      <c r="D1349" s="2">
        <v>1</v>
      </c>
      <c r="E1349" s="2" t="str">
        <f>"2170752810"</f>
        <v>2170752810</v>
      </c>
      <c r="F1349" s="2" t="s">
        <v>17</v>
      </c>
      <c r="G1349" s="2" t="s">
        <v>18</v>
      </c>
      <c r="H1349" s="2" t="s">
        <v>19</v>
      </c>
      <c r="I1349" s="2" t="s">
        <v>130</v>
      </c>
      <c r="J1349" s="2" t="s">
        <v>131</v>
      </c>
      <c r="K1349" s="2" t="s">
        <v>1084</v>
      </c>
      <c r="L1349" s="3">
        <v>0.38819444444444445</v>
      </c>
      <c r="M1349" s="2" t="s">
        <v>236</v>
      </c>
      <c r="N1349" s="2" t="s">
        <v>500</v>
      </c>
      <c r="O1349" s="2"/>
    </row>
    <row r="1350" spans="1:15" x14ac:dyDescent="0.25">
      <c r="A1350" s="2" t="s">
        <v>15</v>
      </c>
      <c r="B1350" s="2" t="str">
        <f>"FES1162769199"</f>
        <v>FES1162769199</v>
      </c>
      <c r="C1350" s="2" t="s">
        <v>1008</v>
      </c>
      <c r="D1350" s="2">
        <v>1</v>
      </c>
      <c r="E1350" s="2" t="str">
        <f>"2170756444"</f>
        <v>2170756444</v>
      </c>
      <c r="F1350" s="2" t="s">
        <v>17</v>
      </c>
      <c r="G1350" s="2" t="s">
        <v>18</v>
      </c>
      <c r="H1350" s="2" t="s">
        <v>33</v>
      </c>
      <c r="I1350" s="2" t="s">
        <v>34</v>
      </c>
      <c r="J1350" s="2" t="s">
        <v>868</v>
      </c>
      <c r="K1350" s="2" t="s">
        <v>1084</v>
      </c>
      <c r="L1350" s="3">
        <v>0.43333333333333335</v>
      </c>
      <c r="M1350" s="2" t="s">
        <v>1182</v>
      </c>
      <c r="N1350" s="2" t="s">
        <v>500</v>
      </c>
      <c r="O1350" s="2"/>
    </row>
    <row r="1351" spans="1:15" x14ac:dyDescent="0.25">
      <c r="A1351" s="2" t="s">
        <v>15</v>
      </c>
      <c r="B1351" s="2" t="str">
        <f>"FES1162768486"</f>
        <v>FES1162768486</v>
      </c>
      <c r="C1351" s="2" t="s">
        <v>1008</v>
      </c>
      <c r="D1351" s="2">
        <v>1</v>
      </c>
      <c r="E1351" s="2" t="str">
        <f>"2170753867"</f>
        <v>2170753867</v>
      </c>
      <c r="F1351" s="2" t="s">
        <v>17</v>
      </c>
      <c r="G1351" s="2" t="s">
        <v>18</v>
      </c>
      <c r="H1351" s="2" t="s">
        <v>19</v>
      </c>
      <c r="I1351" s="2" t="s">
        <v>73</v>
      </c>
      <c r="J1351" s="2" t="s">
        <v>76</v>
      </c>
      <c r="K1351" s="2" t="s">
        <v>1084</v>
      </c>
      <c r="L1351" s="3">
        <v>0.35138888888888892</v>
      </c>
      <c r="M1351" s="2" t="s">
        <v>197</v>
      </c>
      <c r="N1351" s="2" t="s">
        <v>500</v>
      </c>
      <c r="O1351" s="2"/>
    </row>
    <row r="1352" spans="1:15" x14ac:dyDescent="0.25">
      <c r="A1352" s="5" t="s">
        <v>15</v>
      </c>
      <c r="B1352" s="5" t="str">
        <f>"FES1162769105"</f>
        <v>FES1162769105</v>
      </c>
      <c r="C1352" s="5" t="s">
        <v>1008</v>
      </c>
      <c r="D1352" s="5">
        <v>1</v>
      </c>
      <c r="E1352" s="5" t="str">
        <f>"2170754636"</f>
        <v>2170754636</v>
      </c>
      <c r="F1352" s="5" t="s">
        <v>17</v>
      </c>
      <c r="G1352" s="5" t="s">
        <v>18</v>
      </c>
      <c r="H1352" s="5" t="s">
        <v>36</v>
      </c>
      <c r="I1352" s="5" t="s">
        <v>1129</v>
      </c>
      <c r="J1352" s="5" t="s">
        <v>1130</v>
      </c>
      <c r="K1352" s="5" t="s">
        <v>1084</v>
      </c>
      <c r="L1352" s="9">
        <v>0.4375</v>
      </c>
      <c r="M1352" s="5" t="s">
        <v>1826</v>
      </c>
      <c r="N1352" s="5" t="s">
        <v>500</v>
      </c>
      <c r="O1352" s="5"/>
    </row>
    <row r="1353" spans="1:15" x14ac:dyDescent="0.25">
      <c r="A1353" s="2" t="s">
        <v>15</v>
      </c>
      <c r="B1353" s="2" t="str">
        <f>"FES1162769221"</f>
        <v>FES1162769221</v>
      </c>
      <c r="C1353" s="2" t="s">
        <v>1008</v>
      </c>
      <c r="D1353" s="2">
        <v>1</v>
      </c>
      <c r="E1353" s="2" t="str">
        <f>"2170754625"</f>
        <v>2170754625</v>
      </c>
      <c r="F1353" s="2" t="s">
        <v>17</v>
      </c>
      <c r="G1353" s="2" t="s">
        <v>18</v>
      </c>
      <c r="H1353" s="2" t="s">
        <v>30</v>
      </c>
      <c r="I1353" s="2" t="s">
        <v>444</v>
      </c>
      <c r="J1353" s="2" t="s">
        <v>445</v>
      </c>
      <c r="K1353" s="2" t="s">
        <v>1084</v>
      </c>
      <c r="L1353" s="3">
        <v>0.46319444444444446</v>
      </c>
      <c r="M1353" s="2" t="s">
        <v>552</v>
      </c>
      <c r="N1353" s="2" t="s">
        <v>500</v>
      </c>
      <c r="O1353" s="2"/>
    </row>
    <row r="1354" spans="1:15" x14ac:dyDescent="0.25">
      <c r="A1354" s="2" t="s">
        <v>15</v>
      </c>
      <c r="B1354" s="2" t="str">
        <f>"FES1162769141"</f>
        <v>FES1162769141</v>
      </c>
      <c r="C1354" s="2" t="s">
        <v>1008</v>
      </c>
      <c r="D1354" s="2">
        <v>1</v>
      </c>
      <c r="E1354" s="2" t="str">
        <f>"2170755077"</f>
        <v>2170755077</v>
      </c>
      <c r="F1354" s="2" t="s">
        <v>17</v>
      </c>
      <c r="G1354" s="2" t="s">
        <v>18</v>
      </c>
      <c r="H1354" s="2" t="s">
        <v>25</v>
      </c>
      <c r="I1354" s="2" t="s">
        <v>26</v>
      </c>
      <c r="J1354" s="2" t="s">
        <v>422</v>
      </c>
      <c r="K1354" s="2" t="s">
        <v>1084</v>
      </c>
      <c r="L1354" s="3">
        <v>0.36527777777777781</v>
      </c>
      <c r="M1354" s="2" t="s">
        <v>813</v>
      </c>
      <c r="N1354" s="2" t="s">
        <v>500</v>
      </c>
      <c r="O1354" s="2"/>
    </row>
    <row r="1355" spans="1:15" x14ac:dyDescent="0.25">
      <c r="A1355" s="2" t="s">
        <v>15</v>
      </c>
      <c r="B1355" s="2" t="str">
        <f>"FES1162769143"</f>
        <v>FES1162769143</v>
      </c>
      <c r="C1355" s="2" t="s">
        <v>1008</v>
      </c>
      <c r="D1355" s="2">
        <v>1</v>
      </c>
      <c r="E1355" s="2" t="str">
        <f>"2170755106"</f>
        <v>2170755106</v>
      </c>
      <c r="F1355" s="2" t="s">
        <v>17</v>
      </c>
      <c r="G1355" s="2" t="s">
        <v>18</v>
      </c>
      <c r="H1355" s="2" t="s">
        <v>36</v>
      </c>
      <c r="I1355" s="2" t="s">
        <v>37</v>
      </c>
      <c r="J1355" s="2" t="s">
        <v>376</v>
      </c>
      <c r="K1355" s="2" t="s">
        <v>1084</v>
      </c>
      <c r="L1355" s="3">
        <v>0.3576388888888889</v>
      </c>
      <c r="M1355" s="2" t="s">
        <v>1183</v>
      </c>
      <c r="N1355" s="2" t="s">
        <v>500</v>
      </c>
      <c r="O1355" s="2"/>
    </row>
    <row r="1356" spans="1:15" x14ac:dyDescent="0.25">
      <c r="A1356" s="2" t="s">
        <v>15</v>
      </c>
      <c r="B1356" s="2" t="str">
        <f>"FES1162769084"</f>
        <v>FES1162769084</v>
      </c>
      <c r="C1356" s="2" t="s">
        <v>1008</v>
      </c>
      <c r="D1356" s="2">
        <v>1</v>
      </c>
      <c r="E1356" s="2" t="str">
        <f>"2170753867"</f>
        <v>2170753867</v>
      </c>
      <c r="F1356" s="2" t="s">
        <v>17</v>
      </c>
      <c r="G1356" s="2" t="s">
        <v>18</v>
      </c>
      <c r="H1356" s="2" t="s">
        <v>19</v>
      </c>
      <c r="I1356" s="2" t="s">
        <v>73</v>
      </c>
      <c r="J1356" s="2" t="s">
        <v>76</v>
      </c>
      <c r="K1356" s="2" t="s">
        <v>1084</v>
      </c>
      <c r="L1356" s="3">
        <v>0.35138888888888892</v>
      </c>
      <c r="M1356" s="2" t="s">
        <v>197</v>
      </c>
      <c r="N1356" s="2" t="s">
        <v>500</v>
      </c>
      <c r="O1356" s="2"/>
    </row>
    <row r="1357" spans="1:15" x14ac:dyDescent="0.25">
      <c r="A1357" s="2" t="s">
        <v>15</v>
      </c>
      <c r="B1357" s="2" t="str">
        <f>"FES1161769103"</f>
        <v>FES1161769103</v>
      </c>
      <c r="C1357" s="2" t="s">
        <v>1008</v>
      </c>
      <c r="D1357" s="2">
        <v>2</v>
      </c>
      <c r="E1357" s="2" t="str">
        <f>"2170754465"</f>
        <v>2170754465</v>
      </c>
      <c r="F1357" s="2" t="s">
        <v>205</v>
      </c>
      <c r="G1357" s="2" t="s">
        <v>206</v>
      </c>
      <c r="H1357" s="2" t="s">
        <v>19</v>
      </c>
      <c r="I1357" s="2" t="s">
        <v>73</v>
      </c>
      <c r="J1357" s="2" t="s">
        <v>76</v>
      </c>
      <c r="K1357" s="2" t="s">
        <v>1084</v>
      </c>
      <c r="L1357" s="3">
        <v>0.70486111111111116</v>
      </c>
      <c r="M1357" s="2" t="s">
        <v>1184</v>
      </c>
      <c r="N1357" s="2" t="s">
        <v>500</v>
      </c>
      <c r="O1357" s="2"/>
    </row>
    <row r="1358" spans="1:15" x14ac:dyDescent="0.25">
      <c r="A1358" s="2" t="s">
        <v>15</v>
      </c>
      <c r="B1358" s="2" t="str">
        <f>"FES1162769175"</f>
        <v>FES1162769175</v>
      </c>
      <c r="C1358" s="2" t="s">
        <v>1008</v>
      </c>
      <c r="D1358" s="2">
        <v>1</v>
      </c>
      <c r="E1358" s="2" t="str">
        <f>"2170755744"</f>
        <v>2170755744</v>
      </c>
      <c r="F1358" s="2" t="s">
        <v>17</v>
      </c>
      <c r="G1358" s="2" t="s">
        <v>18</v>
      </c>
      <c r="H1358" s="2" t="s">
        <v>36</v>
      </c>
      <c r="I1358" s="2" t="s">
        <v>37</v>
      </c>
      <c r="J1358" s="2" t="s">
        <v>104</v>
      </c>
      <c r="K1358" s="2" t="s">
        <v>1084</v>
      </c>
      <c r="L1358" s="3">
        <v>0.35416666666666669</v>
      </c>
      <c r="M1358" s="2" t="s">
        <v>870</v>
      </c>
      <c r="N1358" s="2" t="s">
        <v>500</v>
      </c>
      <c r="O1358" s="2"/>
    </row>
    <row r="1359" spans="1:15" x14ac:dyDescent="0.25">
      <c r="A1359" s="2" t="s">
        <v>15</v>
      </c>
      <c r="B1359" s="2" t="str">
        <f>"FES1162769140"</f>
        <v>FES1162769140</v>
      </c>
      <c r="C1359" s="2" t="s">
        <v>1008</v>
      </c>
      <c r="D1359" s="2">
        <v>1</v>
      </c>
      <c r="E1359" s="2" t="str">
        <f>"2170755073"</f>
        <v>2170755073</v>
      </c>
      <c r="F1359" s="2" t="s">
        <v>17</v>
      </c>
      <c r="G1359" s="2" t="s">
        <v>18</v>
      </c>
      <c r="H1359" s="2" t="s">
        <v>25</v>
      </c>
      <c r="I1359" s="2" t="s">
        <v>42</v>
      </c>
      <c r="J1359" s="2" t="s">
        <v>416</v>
      </c>
      <c r="K1359" s="2" t="s">
        <v>1084</v>
      </c>
      <c r="L1359" s="3">
        <v>0.50208333333333333</v>
      </c>
      <c r="M1359" s="2" t="s">
        <v>688</v>
      </c>
      <c r="N1359" s="2" t="s">
        <v>500</v>
      </c>
      <c r="O1359" s="2"/>
    </row>
    <row r="1360" spans="1:15" x14ac:dyDescent="0.25">
      <c r="A1360" s="2" t="s">
        <v>15</v>
      </c>
      <c r="B1360" s="2" t="str">
        <f>"FES1162769115"</f>
        <v>FES1162769115</v>
      </c>
      <c r="C1360" s="2" t="s">
        <v>1008</v>
      </c>
      <c r="D1360" s="2">
        <v>1</v>
      </c>
      <c r="E1360" s="2" t="str">
        <f>"2170754863"</f>
        <v>2170754863</v>
      </c>
      <c r="F1360" s="2" t="s">
        <v>17</v>
      </c>
      <c r="G1360" s="2" t="s">
        <v>18</v>
      </c>
      <c r="H1360" s="2" t="s">
        <v>19</v>
      </c>
      <c r="I1360" s="2" t="s">
        <v>20</v>
      </c>
      <c r="J1360" s="2" t="s">
        <v>413</v>
      </c>
      <c r="K1360" s="2" t="s">
        <v>1084</v>
      </c>
      <c r="L1360" s="3">
        <v>0.3666666666666667</v>
      </c>
      <c r="M1360" s="2" t="s">
        <v>1185</v>
      </c>
      <c r="N1360" s="2" t="s">
        <v>500</v>
      </c>
      <c r="O1360" s="2"/>
    </row>
    <row r="1361" spans="1:15" x14ac:dyDescent="0.25">
      <c r="A1361" s="2" t="s">
        <v>15</v>
      </c>
      <c r="B1361" s="2" t="str">
        <f>"FES1162769091"</f>
        <v>FES1162769091</v>
      </c>
      <c r="C1361" s="2" t="s">
        <v>1008</v>
      </c>
      <c r="D1361" s="2">
        <v>1</v>
      </c>
      <c r="E1361" s="2" t="str">
        <f>"2170754339"</f>
        <v>2170754339</v>
      </c>
      <c r="F1361" s="2" t="s">
        <v>17</v>
      </c>
      <c r="G1361" s="2" t="s">
        <v>18</v>
      </c>
      <c r="H1361" s="2" t="s">
        <v>36</v>
      </c>
      <c r="I1361" s="2" t="s">
        <v>37</v>
      </c>
      <c r="J1361" s="2" t="s">
        <v>55</v>
      </c>
      <c r="K1361" s="2" t="s">
        <v>1084</v>
      </c>
      <c r="L1361" s="3">
        <v>0.31597222222222221</v>
      </c>
      <c r="M1361" s="2" t="s">
        <v>970</v>
      </c>
      <c r="N1361" s="2" t="s">
        <v>500</v>
      </c>
      <c r="O1361" s="2"/>
    </row>
    <row r="1362" spans="1:15" x14ac:dyDescent="0.25">
      <c r="A1362" s="2" t="s">
        <v>15</v>
      </c>
      <c r="B1362" s="2" t="str">
        <f>"FES1162769073"</f>
        <v>FES1162769073</v>
      </c>
      <c r="C1362" s="2" t="s">
        <v>1008</v>
      </c>
      <c r="D1362" s="2">
        <v>1</v>
      </c>
      <c r="E1362" s="2" t="str">
        <f>"2170753331"</f>
        <v>2170753331</v>
      </c>
      <c r="F1362" s="2" t="s">
        <v>17</v>
      </c>
      <c r="G1362" s="2" t="s">
        <v>18</v>
      </c>
      <c r="H1362" s="2" t="s">
        <v>25</v>
      </c>
      <c r="I1362" s="2" t="s">
        <v>26</v>
      </c>
      <c r="J1362" s="2" t="s">
        <v>75</v>
      </c>
      <c r="K1362" s="2" t="s">
        <v>1084</v>
      </c>
      <c r="L1362" s="3">
        <v>0.39513888888888887</v>
      </c>
      <c r="M1362" s="2" t="s">
        <v>518</v>
      </c>
      <c r="N1362" s="2" t="s">
        <v>500</v>
      </c>
      <c r="O1362" s="2"/>
    </row>
    <row r="1363" spans="1:15" x14ac:dyDescent="0.25">
      <c r="A1363" s="2" t="s">
        <v>15</v>
      </c>
      <c r="B1363" s="2" t="str">
        <f>"FES1162769083"</f>
        <v>FES1162769083</v>
      </c>
      <c r="C1363" s="2" t="s">
        <v>1008</v>
      </c>
      <c r="D1363" s="2">
        <v>1</v>
      </c>
      <c r="E1363" s="2" t="str">
        <f>"2170753859"</f>
        <v>2170753859</v>
      </c>
      <c r="F1363" s="2" t="s">
        <v>17</v>
      </c>
      <c r="G1363" s="2" t="s">
        <v>18</v>
      </c>
      <c r="H1363" s="2" t="s">
        <v>19</v>
      </c>
      <c r="I1363" s="2" t="s">
        <v>20</v>
      </c>
      <c r="J1363" s="2" t="s">
        <v>359</v>
      </c>
      <c r="K1363" s="2" t="s">
        <v>1084</v>
      </c>
      <c r="L1363" s="3">
        <v>0.49444444444444446</v>
      </c>
      <c r="M1363" s="2" t="s">
        <v>360</v>
      </c>
      <c r="N1363" s="2" t="s">
        <v>500</v>
      </c>
      <c r="O1363" s="2"/>
    </row>
    <row r="1364" spans="1:15" x14ac:dyDescent="0.25">
      <c r="A1364" s="2" t="s">
        <v>15</v>
      </c>
      <c r="B1364" s="2" t="str">
        <f>"FES1162769104"</f>
        <v>FES1162769104</v>
      </c>
      <c r="C1364" s="2" t="s">
        <v>1008</v>
      </c>
      <c r="D1364" s="2">
        <v>1</v>
      </c>
      <c r="E1364" s="2" t="str">
        <f>"2170754575"</f>
        <v>2170754575</v>
      </c>
      <c r="F1364" s="2" t="s">
        <v>17</v>
      </c>
      <c r="G1364" s="2" t="s">
        <v>18</v>
      </c>
      <c r="H1364" s="2" t="s">
        <v>25</v>
      </c>
      <c r="I1364" s="2" t="s">
        <v>26</v>
      </c>
      <c r="J1364" s="2" t="s">
        <v>44</v>
      </c>
      <c r="K1364" s="2" t="s">
        <v>1084</v>
      </c>
      <c r="L1364" s="3">
        <v>0.4375</v>
      </c>
      <c r="M1364" s="2" t="s">
        <v>181</v>
      </c>
      <c r="N1364" s="2" t="s">
        <v>500</v>
      </c>
      <c r="O1364" s="2"/>
    </row>
    <row r="1365" spans="1:15" x14ac:dyDescent="0.25">
      <c r="A1365" s="2" t="s">
        <v>15</v>
      </c>
      <c r="B1365" s="2" t="str">
        <f>"FES1162769106"</f>
        <v>FES1162769106</v>
      </c>
      <c r="C1365" s="2" t="s">
        <v>1008</v>
      </c>
      <c r="D1365" s="2">
        <v>1</v>
      </c>
      <c r="E1365" s="2" t="str">
        <f>"2170754668"</f>
        <v>2170754668</v>
      </c>
      <c r="F1365" s="2" t="s">
        <v>17</v>
      </c>
      <c r="G1365" s="2" t="s">
        <v>18</v>
      </c>
      <c r="H1365" s="2" t="s">
        <v>18</v>
      </c>
      <c r="I1365" s="2" t="s">
        <v>46</v>
      </c>
      <c r="J1365" s="2" t="s">
        <v>1131</v>
      </c>
      <c r="K1365" s="2" t="s">
        <v>1084</v>
      </c>
      <c r="L1365" s="3">
        <v>0.54027777777777775</v>
      </c>
      <c r="M1365" s="2" t="s">
        <v>1186</v>
      </c>
      <c r="N1365" s="2" t="s">
        <v>500</v>
      </c>
      <c r="O1365" s="2"/>
    </row>
    <row r="1366" spans="1:15" x14ac:dyDescent="0.25">
      <c r="A1366" s="2" t="s">
        <v>15</v>
      </c>
      <c r="B1366" s="2" t="str">
        <f>"FES1162769148"</f>
        <v>FES1162769148</v>
      </c>
      <c r="C1366" s="2" t="s">
        <v>1008</v>
      </c>
      <c r="D1366" s="2">
        <v>1</v>
      </c>
      <c r="E1366" s="2" t="str">
        <f>"2170755137"</f>
        <v>2170755137</v>
      </c>
      <c r="F1366" s="2" t="s">
        <v>17</v>
      </c>
      <c r="G1366" s="2" t="s">
        <v>18</v>
      </c>
      <c r="H1366" s="2" t="s">
        <v>19</v>
      </c>
      <c r="I1366" s="2" t="s">
        <v>111</v>
      </c>
      <c r="J1366" s="2" t="s">
        <v>112</v>
      </c>
      <c r="K1366" s="2" t="s">
        <v>1084</v>
      </c>
      <c r="L1366" s="3">
        <v>0.54513888888888895</v>
      </c>
      <c r="M1366" s="2" t="s">
        <v>225</v>
      </c>
      <c r="N1366" s="2" t="s">
        <v>500</v>
      </c>
      <c r="O1366" s="2"/>
    </row>
    <row r="1367" spans="1:15" x14ac:dyDescent="0.25">
      <c r="A1367" s="2" t="s">
        <v>15</v>
      </c>
      <c r="B1367" s="2" t="str">
        <f>"FES1162769065"</f>
        <v>FES1162769065</v>
      </c>
      <c r="C1367" s="2" t="s">
        <v>1008</v>
      </c>
      <c r="D1367" s="2">
        <v>1</v>
      </c>
      <c r="E1367" s="2" t="str">
        <f>"2170752493"</f>
        <v>2170752493</v>
      </c>
      <c r="F1367" s="2" t="s">
        <v>17</v>
      </c>
      <c r="G1367" s="2" t="s">
        <v>18</v>
      </c>
      <c r="H1367" s="2" t="s">
        <v>19</v>
      </c>
      <c r="I1367" s="2" t="s">
        <v>20</v>
      </c>
      <c r="J1367" s="2" t="s">
        <v>767</v>
      </c>
      <c r="K1367" s="2" t="s">
        <v>1084</v>
      </c>
      <c r="L1367" s="3">
        <v>0.33263888888888887</v>
      </c>
      <c r="M1367" s="2" t="s">
        <v>1166</v>
      </c>
      <c r="N1367" s="2" t="s">
        <v>500</v>
      </c>
      <c r="O1367" s="2"/>
    </row>
    <row r="1368" spans="1:15" x14ac:dyDescent="0.25">
      <c r="A1368" s="2" t="s">
        <v>15</v>
      </c>
      <c r="B1368" s="2" t="str">
        <f>"FES1162769125"</f>
        <v>FES1162769125</v>
      </c>
      <c r="C1368" s="2" t="s">
        <v>1008</v>
      </c>
      <c r="D1368" s="2">
        <v>1</v>
      </c>
      <c r="E1368" s="2" t="str">
        <f>"2170754954"</f>
        <v>2170754954</v>
      </c>
      <c r="F1368" s="2" t="s">
        <v>17</v>
      </c>
      <c r="G1368" s="2" t="s">
        <v>18</v>
      </c>
      <c r="H1368" s="2" t="s">
        <v>19</v>
      </c>
      <c r="I1368" s="2" t="s">
        <v>20</v>
      </c>
      <c r="J1368" s="2" t="s">
        <v>359</v>
      </c>
      <c r="K1368" s="2" t="s">
        <v>1084</v>
      </c>
      <c r="L1368" s="3">
        <v>0.49444444444444446</v>
      </c>
      <c r="M1368" s="2" t="s">
        <v>360</v>
      </c>
      <c r="N1368" s="2" t="s">
        <v>500</v>
      </c>
      <c r="O1368" s="2"/>
    </row>
    <row r="1369" spans="1:15" x14ac:dyDescent="0.25">
      <c r="A1369" s="2" t="s">
        <v>15</v>
      </c>
      <c r="B1369" s="2" t="str">
        <f>"FES1162769117"</f>
        <v>FES1162769117</v>
      </c>
      <c r="C1369" s="2" t="s">
        <v>1008</v>
      </c>
      <c r="D1369" s="2">
        <v>1</v>
      </c>
      <c r="E1369" s="2" t="str">
        <f>"2170754882"</f>
        <v>2170754882</v>
      </c>
      <c r="F1369" s="2" t="s">
        <v>17</v>
      </c>
      <c r="G1369" s="2" t="s">
        <v>18</v>
      </c>
      <c r="H1369" s="2" t="s">
        <v>19</v>
      </c>
      <c r="I1369" s="2" t="s">
        <v>20</v>
      </c>
      <c r="J1369" s="2" t="s">
        <v>21</v>
      </c>
      <c r="K1369" s="2" t="s">
        <v>1084</v>
      </c>
      <c r="L1369" s="3">
        <v>0.37638888888888888</v>
      </c>
      <c r="M1369" s="2" t="s">
        <v>263</v>
      </c>
      <c r="N1369" s="2" t="s">
        <v>500</v>
      </c>
      <c r="O1369" s="2"/>
    </row>
    <row r="1370" spans="1:15" x14ac:dyDescent="0.25">
      <c r="A1370" s="2" t="s">
        <v>15</v>
      </c>
      <c r="B1370" s="2" t="str">
        <f>"FES1162769147"</f>
        <v>FES1162769147</v>
      </c>
      <c r="C1370" s="2" t="s">
        <v>1008</v>
      </c>
      <c r="D1370" s="2">
        <v>1</v>
      </c>
      <c r="E1370" s="2" t="str">
        <f>"2170755130"</f>
        <v>2170755130</v>
      </c>
      <c r="F1370" s="2" t="s">
        <v>17</v>
      </c>
      <c r="G1370" s="2" t="s">
        <v>18</v>
      </c>
      <c r="H1370" s="2" t="s">
        <v>78</v>
      </c>
      <c r="I1370" s="2" t="s">
        <v>79</v>
      </c>
      <c r="J1370" s="2" t="s">
        <v>113</v>
      </c>
      <c r="K1370" s="2" t="s">
        <v>1084</v>
      </c>
      <c r="L1370" s="3">
        <v>0.41666666666666669</v>
      </c>
      <c r="M1370" s="2" t="s">
        <v>1187</v>
      </c>
      <c r="N1370" s="2" t="s">
        <v>500</v>
      </c>
      <c r="O1370" s="2"/>
    </row>
    <row r="1371" spans="1:15" x14ac:dyDescent="0.25">
      <c r="A1371" s="2" t="s">
        <v>15</v>
      </c>
      <c r="B1371" s="2" t="str">
        <f>"FES1162769098"</f>
        <v>FES1162769098</v>
      </c>
      <c r="C1371" s="2" t="s">
        <v>1008</v>
      </c>
      <c r="D1371" s="2">
        <v>1</v>
      </c>
      <c r="E1371" s="2" t="str">
        <f>"2170754442"</f>
        <v>2170754442</v>
      </c>
      <c r="F1371" s="2" t="s">
        <v>17</v>
      </c>
      <c r="G1371" s="2" t="s">
        <v>18</v>
      </c>
      <c r="H1371" s="2" t="s">
        <v>19</v>
      </c>
      <c r="I1371" s="2" t="s">
        <v>73</v>
      </c>
      <c r="J1371" s="2" t="s">
        <v>76</v>
      </c>
      <c r="K1371" s="2" t="s">
        <v>1084</v>
      </c>
      <c r="L1371" s="3">
        <v>0.35138888888888892</v>
      </c>
      <c r="M1371" s="2" t="s">
        <v>197</v>
      </c>
      <c r="N1371" s="2" t="s">
        <v>500</v>
      </c>
      <c r="O1371" s="2"/>
    </row>
    <row r="1372" spans="1:15" x14ac:dyDescent="0.25">
      <c r="A1372" s="2" t="s">
        <v>15</v>
      </c>
      <c r="B1372" s="2" t="str">
        <f>"FES1162769214"</f>
        <v>FES1162769214</v>
      </c>
      <c r="C1372" s="2" t="s">
        <v>1008</v>
      </c>
      <c r="D1372" s="2">
        <v>1</v>
      </c>
      <c r="E1372" s="2" t="str">
        <f>"2170754469"</f>
        <v>2170754469</v>
      </c>
      <c r="F1372" s="2" t="s">
        <v>17</v>
      </c>
      <c r="G1372" s="2" t="s">
        <v>18</v>
      </c>
      <c r="H1372" s="2" t="s">
        <v>88</v>
      </c>
      <c r="I1372" s="2" t="s">
        <v>109</v>
      </c>
      <c r="J1372" s="2" t="s">
        <v>395</v>
      </c>
      <c r="K1372" s="2" t="s">
        <v>1084</v>
      </c>
      <c r="L1372" s="3">
        <v>0.48749999999999999</v>
      </c>
      <c r="M1372" s="2" t="s">
        <v>1188</v>
      </c>
      <c r="N1372" s="2" t="s">
        <v>500</v>
      </c>
      <c r="O1372" s="2"/>
    </row>
    <row r="1373" spans="1:15" x14ac:dyDescent="0.25">
      <c r="A1373" s="2" t="s">
        <v>15</v>
      </c>
      <c r="B1373" s="2" t="str">
        <f>"FES1162769193"</f>
        <v>FES1162769193</v>
      </c>
      <c r="C1373" s="2" t="s">
        <v>1008</v>
      </c>
      <c r="D1373" s="2">
        <v>1</v>
      </c>
      <c r="E1373" s="2" t="str">
        <f>"2170756354"</f>
        <v>2170756354</v>
      </c>
      <c r="F1373" s="2" t="s">
        <v>17</v>
      </c>
      <c r="G1373" s="2" t="s">
        <v>18</v>
      </c>
      <c r="H1373" s="2" t="s">
        <v>33</v>
      </c>
      <c r="I1373" s="2" t="s">
        <v>34</v>
      </c>
      <c r="J1373" s="2" t="s">
        <v>400</v>
      </c>
      <c r="K1373" s="2" t="s">
        <v>1084</v>
      </c>
      <c r="L1373" s="3">
        <v>0.43333333333333335</v>
      </c>
      <c r="M1373" s="2" t="s">
        <v>706</v>
      </c>
      <c r="N1373" s="2" t="s">
        <v>500</v>
      </c>
      <c r="O1373" s="2"/>
    </row>
    <row r="1374" spans="1:15" x14ac:dyDescent="0.25">
      <c r="A1374" s="2" t="s">
        <v>15</v>
      </c>
      <c r="B1374" s="2" t="str">
        <f>"FES1162769200"</f>
        <v>FES1162769200</v>
      </c>
      <c r="C1374" s="2" t="s">
        <v>1008</v>
      </c>
      <c r="D1374" s="2">
        <v>1</v>
      </c>
      <c r="E1374" s="2" t="str">
        <f>"2170756454"</f>
        <v>2170756454</v>
      </c>
      <c r="F1374" s="2" t="s">
        <v>17</v>
      </c>
      <c r="G1374" s="2" t="s">
        <v>18</v>
      </c>
      <c r="H1374" s="2" t="s">
        <v>25</v>
      </c>
      <c r="I1374" s="2" t="s">
        <v>125</v>
      </c>
      <c r="J1374" s="2" t="s">
        <v>126</v>
      </c>
      <c r="K1374" s="2" t="s">
        <v>1084</v>
      </c>
      <c r="L1374" s="3">
        <v>0.43055555555555558</v>
      </c>
      <c r="M1374" s="2" t="s">
        <v>1189</v>
      </c>
      <c r="N1374" s="2" t="s">
        <v>500</v>
      </c>
      <c r="O1374" s="2"/>
    </row>
    <row r="1375" spans="1:15" x14ac:dyDescent="0.25">
      <c r="A1375" s="5" t="s">
        <v>15</v>
      </c>
      <c r="B1375" s="5" t="str">
        <f>"FES1162769108"</f>
        <v>FES1162769108</v>
      </c>
      <c r="C1375" s="5" t="s">
        <v>1008</v>
      </c>
      <c r="D1375" s="5">
        <v>1</v>
      </c>
      <c r="E1375" s="5" t="str">
        <f>"2170754698"</f>
        <v>2170754698</v>
      </c>
      <c r="F1375" s="5" t="s">
        <v>17</v>
      </c>
      <c r="G1375" s="5" t="s">
        <v>18</v>
      </c>
      <c r="H1375" s="5" t="s">
        <v>36</v>
      </c>
      <c r="I1375" s="5" t="s">
        <v>1129</v>
      </c>
      <c r="J1375" s="5" t="s">
        <v>1130</v>
      </c>
      <c r="K1375" s="5" t="s">
        <v>1084</v>
      </c>
      <c r="L1375" s="9">
        <v>0.4375</v>
      </c>
      <c r="M1375" s="5" t="s">
        <v>1825</v>
      </c>
      <c r="N1375" s="5" t="s">
        <v>500</v>
      </c>
      <c r="O1375" s="5"/>
    </row>
    <row r="1376" spans="1:15" x14ac:dyDescent="0.25">
      <c r="A1376" s="2" t="s">
        <v>15</v>
      </c>
      <c r="B1376" s="2" t="str">
        <f>"FES1162769058"</f>
        <v>FES1162769058</v>
      </c>
      <c r="C1376" s="2" t="s">
        <v>1008</v>
      </c>
      <c r="D1376" s="2">
        <v>1</v>
      </c>
      <c r="E1376" s="2" t="str">
        <f>"2170751426"</f>
        <v>2170751426</v>
      </c>
      <c r="F1376" s="2" t="s">
        <v>17</v>
      </c>
      <c r="G1376" s="2" t="s">
        <v>18</v>
      </c>
      <c r="H1376" s="2" t="s">
        <v>36</v>
      </c>
      <c r="I1376" s="2" t="s">
        <v>37</v>
      </c>
      <c r="J1376" s="2" t="s">
        <v>162</v>
      </c>
      <c r="K1376" s="2" t="s">
        <v>1084</v>
      </c>
      <c r="L1376" s="3">
        <v>0.3520833333333333</v>
      </c>
      <c r="M1376" s="2" t="s">
        <v>268</v>
      </c>
      <c r="N1376" s="2" t="s">
        <v>500</v>
      </c>
      <c r="O1376" s="2"/>
    </row>
    <row r="1377" spans="1:15" x14ac:dyDescent="0.25">
      <c r="A1377" s="2" t="s">
        <v>15</v>
      </c>
      <c r="B1377" s="2" t="str">
        <f>"FES1162769113"</f>
        <v>FES1162769113</v>
      </c>
      <c r="C1377" s="2" t="s">
        <v>1008</v>
      </c>
      <c r="D1377" s="2">
        <v>1</v>
      </c>
      <c r="E1377" s="2" t="str">
        <f>"2170754856"</f>
        <v>2170754856</v>
      </c>
      <c r="F1377" s="2" t="s">
        <v>17</v>
      </c>
      <c r="G1377" s="2" t="s">
        <v>18</v>
      </c>
      <c r="H1377" s="2" t="s">
        <v>33</v>
      </c>
      <c r="I1377" s="2" t="s">
        <v>34</v>
      </c>
      <c r="J1377" s="2" t="s">
        <v>400</v>
      </c>
      <c r="K1377" s="2" t="s">
        <v>1084</v>
      </c>
      <c r="L1377" s="3">
        <v>0.43333333333333335</v>
      </c>
      <c r="M1377" s="2" t="s">
        <v>706</v>
      </c>
      <c r="N1377" s="2" t="s">
        <v>500</v>
      </c>
      <c r="O1377" s="2"/>
    </row>
    <row r="1378" spans="1:15" x14ac:dyDescent="0.25">
      <c r="A1378" s="2" t="s">
        <v>15</v>
      </c>
      <c r="B1378" s="2" t="str">
        <f>"FES1162769234"</f>
        <v>FES1162769234</v>
      </c>
      <c r="C1378" s="2" t="s">
        <v>1008</v>
      </c>
      <c r="D1378" s="2">
        <v>2</v>
      </c>
      <c r="E1378" s="2" t="str">
        <f>"2170755205"</f>
        <v>2170755205</v>
      </c>
      <c r="F1378" s="2" t="s">
        <v>205</v>
      </c>
      <c r="G1378" s="2" t="s">
        <v>206</v>
      </c>
      <c r="H1378" s="2" t="s">
        <v>25</v>
      </c>
      <c r="I1378" s="2" t="s">
        <v>26</v>
      </c>
      <c r="J1378" s="2" t="s">
        <v>474</v>
      </c>
      <c r="K1378" s="2" t="s">
        <v>1190</v>
      </c>
      <c r="L1378" s="3">
        <v>0.41666666666666669</v>
      </c>
      <c r="M1378" s="2" t="s">
        <v>1252</v>
      </c>
      <c r="N1378" s="2" t="s">
        <v>500</v>
      </c>
      <c r="O1378" s="2"/>
    </row>
    <row r="1379" spans="1:15" x14ac:dyDescent="0.25">
      <c r="A1379" s="2" t="s">
        <v>15</v>
      </c>
      <c r="B1379" s="2" t="str">
        <f>"FES1162769068"</f>
        <v>FES1162769068</v>
      </c>
      <c r="C1379" s="2" t="s">
        <v>1008</v>
      </c>
      <c r="D1379" s="2">
        <v>1</v>
      </c>
      <c r="E1379" s="2" t="str">
        <f>"2170753036"</f>
        <v>2170753036</v>
      </c>
      <c r="F1379" s="2" t="s">
        <v>17</v>
      </c>
      <c r="G1379" s="2" t="s">
        <v>18</v>
      </c>
      <c r="H1379" s="2" t="s">
        <v>19</v>
      </c>
      <c r="I1379" s="2" t="s">
        <v>20</v>
      </c>
      <c r="J1379" s="2" t="s">
        <v>77</v>
      </c>
      <c r="K1379" s="2" t="s">
        <v>1084</v>
      </c>
      <c r="L1379" s="3">
        <v>0.33055555555555555</v>
      </c>
      <c r="M1379" s="2" t="s">
        <v>198</v>
      </c>
      <c r="N1379" s="2" t="s">
        <v>500</v>
      </c>
      <c r="O1379" s="2"/>
    </row>
    <row r="1380" spans="1:15" x14ac:dyDescent="0.25">
      <c r="A1380" s="2" t="s">
        <v>15</v>
      </c>
      <c r="B1380" s="2" t="str">
        <f>"FES1162768762"</f>
        <v>FES1162768762</v>
      </c>
      <c r="C1380" s="2" t="s">
        <v>1008</v>
      </c>
      <c r="D1380" s="2">
        <v>1</v>
      </c>
      <c r="E1380" s="2" t="str">
        <f>"2170753868"</f>
        <v>2170753868</v>
      </c>
      <c r="F1380" s="2" t="s">
        <v>205</v>
      </c>
      <c r="G1380" s="2" t="s">
        <v>206</v>
      </c>
      <c r="H1380" s="2" t="s">
        <v>19</v>
      </c>
      <c r="I1380" s="2" t="s">
        <v>20</v>
      </c>
      <c r="J1380" s="2" t="s">
        <v>76</v>
      </c>
      <c r="K1380" s="2" t="s">
        <v>1084</v>
      </c>
      <c r="L1380" s="3">
        <v>0.70486111111111116</v>
      </c>
      <c r="M1380" s="2" t="s">
        <v>1184</v>
      </c>
      <c r="N1380" s="2" t="s">
        <v>500</v>
      </c>
      <c r="O1380" s="2"/>
    </row>
    <row r="1381" spans="1:15" x14ac:dyDescent="0.25">
      <c r="A1381" s="2" t="s">
        <v>15</v>
      </c>
      <c r="B1381" s="2" t="str">
        <f>"RFES1162767225"</f>
        <v>RFES1162767225</v>
      </c>
      <c r="C1381" s="2" t="s">
        <v>1008</v>
      </c>
      <c r="D1381" s="2">
        <v>1</v>
      </c>
      <c r="E1381" s="2" t="str">
        <f>"2170755177"</f>
        <v>2170755177</v>
      </c>
      <c r="F1381" s="2" t="s">
        <v>17</v>
      </c>
      <c r="G1381" s="2" t="s">
        <v>25</v>
      </c>
      <c r="H1381" s="2" t="s">
        <v>18</v>
      </c>
      <c r="I1381" s="2" t="s">
        <v>46</v>
      </c>
      <c r="J1381" s="2" t="s">
        <v>170</v>
      </c>
      <c r="K1381" s="2" t="s">
        <v>1190</v>
      </c>
      <c r="L1381" s="3">
        <v>0.38055555555555554</v>
      </c>
      <c r="M1381" s="2" t="s">
        <v>1253</v>
      </c>
      <c r="N1381" s="2" t="s">
        <v>500</v>
      </c>
      <c r="O1381" s="2"/>
    </row>
    <row r="1382" spans="1:15" x14ac:dyDescent="0.25">
      <c r="A1382" s="2" t="s">
        <v>15</v>
      </c>
      <c r="B1382" s="2" t="str">
        <f>"009940180231"</f>
        <v>009940180231</v>
      </c>
      <c r="C1382" s="2" t="s">
        <v>1008</v>
      </c>
      <c r="D1382" s="2">
        <v>1</v>
      </c>
      <c r="E1382" s="2" t="str">
        <f>""</f>
        <v/>
      </c>
      <c r="F1382" s="2" t="s">
        <v>17</v>
      </c>
      <c r="G1382" s="2" t="s">
        <v>18</v>
      </c>
      <c r="H1382" s="2" t="s">
        <v>363</v>
      </c>
      <c r="I1382" s="2" t="s">
        <v>489</v>
      </c>
      <c r="J1382" s="2" t="s">
        <v>909</v>
      </c>
      <c r="K1382" s="2" t="s">
        <v>1084</v>
      </c>
      <c r="L1382" s="3">
        <v>0.4375</v>
      </c>
      <c r="M1382" s="2" t="s">
        <v>1191</v>
      </c>
      <c r="N1382" s="2" t="s">
        <v>500</v>
      </c>
      <c r="O1382" s="2"/>
    </row>
    <row r="1383" spans="1:15" x14ac:dyDescent="0.25">
      <c r="A1383" s="2" t="s">
        <v>15</v>
      </c>
      <c r="B1383" s="2" t="str">
        <f>"RFES1162768676"</f>
        <v>RFES1162768676</v>
      </c>
      <c r="C1383" s="2" t="s">
        <v>1008</v>
      </c>
      <c r="D1383" s="2">
        <v>1</v>
      </c>
      <c r="E1383" s="2" t="str">
        <f>"2170754974"</f>
        <v>2170754974</v>
      </c>
      <c r="F1383" s="2" t="s">
        <v>17</v>
      </c>
      <c r="G1383" s="2" t="s">
        <v>18</v>
      </c>
      <c r="H1383" s="2" t="s">
        <v>18</v>
      </c>
      <c r="I1383" s="2" t="s">
        <v>46</v>
      </c>
      <c r="J1383" s="2" t="s">
        <v>170</v>
      </c>
      <c r="K1383" s="2" t="s">
        <v>1084</v>
      </c>
      <c r="L1383" s="3">
        <v>0.4055555555555555</v>
      </c>
      <c r="M1383" s="2" t="s">
        <v>262</v>
      </c>
      <c r="N1383" s="2" t="s">
        <v>500</v>
      </c>
      <c r="O1383" s="2"/>
    </row>
    <row r="1384" spans="1:15" x14ac:dyDescent="0.25">
      <c r="A1384" s="2" t="s">
        <v>15</v>
      </c>
      <c r="B1384" s="2" t="str">
        <f>"FES1162769348"</f>
        <v>FES1162769348</v>
      </c>
      <c r="C1384" s="2" t="s">
        <v>1008</v>
      </c>
      <c r="D1384" s="2">
        <v>1</v>
      </c>
      <c r="E1384" s="2" t="str">
        <f>"2170752092"</f>
        <v>2170752092</v>
      </c>
      <c r="F1384" s="2" t="s">
        <v>17</v>
      </c>
      <c r="G1384" s="2" t="s">
        <v>18</v>
      </c>
      <c r="H1384" s="2" t="s">
        <v>18</v>
      </c>
      <c r="I1384" s="2" t="s">
        <v>794</v>
      </c>
      <c r="J1384" s="2" t="s">
        <v>1015</v>
      </c>
      <c r="K1384" s="2" t="s">
        <v>1190</v>
      </c>
      <c r="L1384" s="3">
        <v>0.31944444444444448</v>
      </c>
      <c r="M1384" s="2" t="s">
        <v>1076</v>
      </c>
      <c r="N1384" s="2" t="s">
        <v>500</v>
      </c>
      <c r="O1384" s="2"/>
    </row>
    <row r="1385" spans="1:15" x14ac:dyDescent="0.25">
      <c r="A1385" s="2" t="s">
        <v>15</v>
      </c>
      <c r="B1385" s="2" t="str">
        <f>"FES1162769182"</f>
        <v>FES1162769182</v>
      </c>
      <c r="C1385" s="2" t="s">
        <v>1008</v>
      </c>
      <c r="D1385" s="2">
        <v>1</v>
      </c>
      <c r="E1385" s="2" t="str">
        <f>"2170756070"</f>
        <v>2170756070</v>
      </c>
      <c r="F1385" s="2" t="s">
        <v>17</v>
      </c>
      <c r="G1385" s="2" t="s">
        <v>18</v>
      </c>
      <c r="H1385" s="2" t="s">
        <v>78</v>
      </c>
      <c r="I1385" s="2" t="s">
        <v>79</v>
      </c>
      <c r="J1385" s="2" t="s">
        <v>898</v>
      </c>
      <c r="K1385" s="2" t="s">
        <v>1084</v>
      </c>
      <c r="L1385" s="3">
        <v>0.37638888888888888</v>
      </c>
      <c r="M1385" s="2" t="s">
        <v>1192</v>
      </c>
      <c r="N1385" s="2" t="s">
        <v>500</v>
      </c>
      <c r="O1385" s="2"/>
    </row>
    <row r="1386" spans="1:15" x14ac:dyDescent="0.25">
      <c r="A1386" s="2" t="s">
        <v>15</v>
      </c>
      <c r="B1386" s="2" t="str">
        <f>"FES1162769085"</f>
        <v>FES1162769085</v>
      </c>
      <c r="C1386" s="2" t="s">
        <v>1008</v>
      </c>
      <c r="D1386" s="2">
        <v>1</v>
      </c>
      <c r="E1386" s="2" t="str">
        <f>"2170753868"</f>
        <v>2170753868</v>
      </c>
      <c r="F1386" s="2" t="s">
        <v>17</v>
      </c>
      <c r="G1386" s="2" t="s">
        <v>18</v>
      </c>
      <c r="H1386" s="2" t="s">
        <v>19</v>
      </c>
      <c r="I1386" s="2" t="s">
        <v>73</v>
      </c>
      <c r="J1386" s="2" t="s">
        <v>76</v>
      </c>
      <c r="K1386" s="2" t="s">
        <v>1084</v>
      </c>
      <c r="L1386" s="3">
        <v>0.35138888888888892</v>
      </c>
      <c r="M1386" s="2" t="s">
        <v>197</v>
      </c>
      <c r="N1386" s="2" t="s">
        <v>500</v>
      </c>
      <c r="O1386" s="2"/>
    </row>
    <row r="1387" spans="1:15" x14ac:dyDescent="0.25">
      <c r="A1387" s="2" t="s">
        <v>15</v>
      </c>
      <c r="B1387" s="2" t="str">
        <f>"FES1162768785"</f>
        <v>FES1162768785</v>
      </c>
      <c r="C1387" s="2" t="s">
        <v>1008</v>
      </c>
      <c r="D1387" s="2">
        <v>1</v>
      </c>
      <c r="E1387" s="2" t="str">
        <f>"2170754116"</f>
        <v>2170754116</v>
      </c>
      <c r="F1387" s="2" t="s">
        <v>17</v>
      </c>
      <c r="G1387" s="2" t="s">
        <v>18</v>
      </c>
      <c r="H1387" s="2" t="s">
        <v>19</v>
      </c>
      <c r="I1387" s="2" t="s">
        <v>73</v>
      </c>
      <c r="J1387" s="2" t="s">
        <v>76</v>
      </c>
      <c r="K1387" s="2" t="s">
        <v>1084</v>
      </c>
      <c r="L1387" s="3">
        <v>0.35138888888888892</v>
      </c>
      <c r="M1387" s="2" t="s">
        <v>197</v>
      </c>
      <c r="N1387" s="2" t="s">
        <v>500</v>
      </c>
      <c r="O1387" s="2"/>
    </row>
    <row r="1388" spans="1:15" x14ac:dyDescent="0.25">
      <c r="A1388" s="2" t="s">
        <v>15</v>
      </c>
      <c r="B1388" s="2" t="str">
        <f>"FES1162769156"</f>
        <v>FES1162769156</v>
      </c>
      <c r="C1388" s="2" t="s">
        <v>1008</v>
      </c>
      <c r="D1388" s="2">
        <v>1</v>
      </c>
      <c r="E1388" s="2" t="str">
        <f>"2170755227"</f>
        <v>2170755227</v>
      </c>
      <c r="F1388" s="2" t="s">
        <v>17</v>
      </c>
      <c r="G1388" s="2" t="s">
        <v>18</v>
      </c>
      <c r="H1388" s="2" t="s">
        <v>18</v>
      </c>
      <c r="I1388" s="2" t="s">
        <v>46</v>
      </c>
      <c r="J1388" s="2" t="s">
        <v>663</v>
      </c>
      <c r="K1388" s="2" t="s">
        <v>1084</v>
      </c>
      <c r="L1388" s="3">
        <v>0.33333333333333331</v>
      </c>
      <c r="M1388" s="2" t="s">
        <v>1132</v>
      </c>
      <c r="N1388" s="2" t="s">
        <v>500</v>
      </c>
      <c r="O1388" s="2"/>
    </row>
    <row r="1389" spans="1:15" x14ac:dyDescent="0.25">
      <c r="A1389" s="2" t="s">
        <v>15</v>
      </c>
      <c r="B1389" s="2" t="str">
        <f>"FES1162769179"</f>
        <v>FES1162769179</v>
      </c>
      <c r="C1389" s="2" t="s">
        <v>1008</v>
      </c>
      <c r="D1389" s="2">
        <v>1</v>
      </c>
      <c r="E1389" s="2" t="str">
        <f>"2170755967"</f>
        <v>2170755967</v>
      </c>
      <c r="F1389" s="2" t="s">
        <v>17</v>
      </c>
      <c r="G1389" s="2" t="s">
        <v>18</v>
      </c>
      <c r="H1389" s="2" t="s">
        <v>19</v>
      </c>
      <c r="I1389" s="2" t="s">
        <v>111</v>
      </c>
      <c r="J1389" s="2" t="s">
        <v>165</v>
      </c>
      <c r="K1389" s="2" t="s">
        <v>1084</v>
      </c>
      <c r="L1389" s="3">
        <v>0.4236111111111111</v>
      </c>
      <c r="M1389" s="2" t="s">
        <v>258</v>
      </c>
      <c r="N1389" s="2" t="s">
        <v>500</v>
      </c>
      <c r="O1389" s="2"/>
    </row>
    <row r="1390" spans="1:15" x14ac:dyDescent="0.25">
      <c r="A1390" s="2" t="s">
        <v>15</v>
      </c>
      <c r="B1390" s="2" t="str">
        <f>"FES1162769096"</f>
        <v>FES1162769096</v>
      </c>
      <c r="C1390" s="2" t="s">
        <v>1008</v>
      </c>
      <c r="D1390" s="2">
        <v>1</v>
      </c>
      <c r="E1390" s="2" t="str">
        <f>"2170754431"</f>
        <v>2170754431</v>
      </c>
      <c r="F1390" s="2" t="s">
        <v>17</v>
      </c>
      <c r="G1390" s="2" t="s">
        <v>18</v>
      </c>
      <c r="H1390" s="2" t="s">
        <v>18</v>
      </c>
      <c r="I1390" s="2" t="s">
        <v>63</v>
      </c>
      <c r="J1390" s="2" t="s">
        <v>1133</v>
      </c>
      <c r="K1390" s="2" t="s">
        <v>1084</v>
      </c>
      <c r="L1390" s="3">
        <v>0.43611111111111112</v>
      </c>
      <c r="M1390" s="2" t="s">
        <v>563</v>
      </c>
      <c r="N1390" s="2" t="s">
        <v>500</v>
      </c>
      <c r="O1390" s="2"/>
    </row>
    <row r="1391" spans="1:15" x14ac:dyDescent="0.25">
      <c r="A1391" s="2" t="s">
        <v>15</v>
      </c>
      <c r="B1391" s="2" t="str">
        <f>"FES1162769171"</f>
        <v>FES1162769171</v>
      </c>
      <c r="C1391" s="2" t="s">
        <v>1008</v>
      </c>
      <c r="D1391" s="2">
        <v>1</v>
      </c>
      <c r="E1391" s="2" t="str">
        <f>"2170755609"</f>
        <v>2170755609</v>
      </c>
      <c r="F1391" s="2" t="s">
        <v>17</v>
      </c>
      <c r="G1391" s="2" t="s">
        <v>18</v>
      </c>
      <c r="H1391" s="2" t="s">
        <v>36</v>
      </c>
      <c r="I1391" s="2" t="s">
        <v>37</v>
      </c>
      <c r="J1391" s="2" t="s">
        <v>462</v>
      </c>
      <c r="K1391" s="2" t="s">
        <v>1084</v>
      </c>
      <c r="L1391" s="3">
        <v>0.36458333333333331</v>
      </c>
      <c r="M1391" s="2" t="s">
        <v>1193</v>
      </c>
      <c r="N1391" s="2" t="s">
        <v>500</v>
      </c>
      <c r="O1391" s="2"/>
    </row>
    <row r="1392" spans="1:15" x14ac:dyDescent="0.25">
      <c r="A1392" s="2" t="s">
        <v>15</v>
      </c>
      <c r="B1392" s="2" t="str">
        <f>"FES1162769128"</f>
        <v>FES1162769128</v>
      </c>
      <c r="C1392" s="2" t="s">
        <v>1008</v>
      </c>
      <c r="D1392" s="2">
        <v>1</v>
      </c>
      <c r="E1392" s="2" t="str">
        <f>"2170754981"</f>
        <v>2170754981</v>
      </c>
      <c r="F1392" s="2" t="s">
        <v>17</v>
      </c>
      <c r="G1392" s="2" t="s">
        <v>18</v>
      </c>
      <c r="H1392" s="2" t="s">
        <v>19</v>
      </c>
      <c r="I1392" s="2" t="s">
        <v>20</v>
      </c>
      <c r="J1392" s="2" t="s">
        <v>21</v>
      </c>
      <c r="K1392" s="2" t="s">
        <v>1084</v>
      </c>
      <c r="L1392" s="3">
        <v>0.37638888888888888</v>
      </c>
      <c r="M1392" s="2" t="s">
        <v>263</v>
      </c>
      <c r="N1392" s="2" t="s">
        <v>500</v>
      </c>
      <c r="O1392" s="2"/>
    </row>
    <row r="1393" spans="1:15" x14ac:dyDescent="0.25">
      <c r="A1393" s="2" t="s">
        <v>15</v>
      </c>
      <c r="B1393" s="2" t="str">
        <f>"FES1162769223"</f>
        <v>FES1162769223</v>
      </c>
      <c r="C1393" s="2" t="s">
        <v>1008</v>
      </c>
      <c r="D1393" s="2">
        <v>1</v>
      </c>
      <c r="E1393" s="2" t="str">
        <f>"2170751091"</f>
        <v>2170751091</v>
      </c>
      <c r="F1393" s="2" t="s">
        <v>17</v>
      </c>
      <c r="G1393" s="2" t="s">
        <v>18</v>
      </c>
      <c r="H1393" s="2" t="s">
        <v>36</v>
      </c>
      <c r="I1393" s="2" t="s">
        <v>37</v>
      </c>
      <c r="J1393" s="2" t="s">
        <v>162</v>
      </c>
      <c r="K1393" s="2" t="s">
        <v>1084</v>
      </c>
      <c r="L1393" s="3">
        <v>0.3520833333333333</v>
      </c>
      <c r="M1393" s="2" t="s">
        <v>268</v>
      </c>
      <c r="N1393" s="2" t="s">
        <v>500</v>
      </c>
      <c r="O1393" s="2"/>
    </row>
    <row r="1394" spans="1:15" x14ac:dyDescent="0.25">
      <c r="A1394" s="2" t="s">
        <v>15</v>
      </c>
      <c r="B1394" s="2" t="str">
        <f>"FES1162769180"</f>
        <v>FES1162769180</v>
      </c>
      <c r="C1394" s="2" t="s">
        <v>1008</v>
      </c>
      <c r="D1394" s="2">
        <v>1</v>
      </c>
      <c r="E1394" s="2" t="str">
        <f>"2170756049"</f>
        <v>2170756049</v>
      </c>
      <c r="F1394" s="2" t="s">
        <v>17</v>
      </c>
      <c r="G1394" s="2" t="s">
        <v>18</v>
      </c>
      <c r="H1394" s="2" t="s">
        <v>19</v>
      </c>
      <c r="I1394" s="2" t="s">
        <v>111</v>
      </c>
      <c r="J1394" s="2" t="s">
        <v>405</v>
      </c>
      <c r="K1394" s="2" t="s">
        <v>1084</v>
      </c>
      <c r="L1394" s="3">
        <v>0.36319444444444443</v>
      </c>
      <c r="M1394" s="2" t="s">
        <v>714</v>
      </c>
      <c r="N1394" s="2" t="s">
        <v>500</v>
      </c>
      <c r="O1394" s="2"/>
    </row>
    <row r="1395" spans="1:15" x14ac:dyDescent="0.25">
      <c r="A1395" s="2" t="s">
        <v>15</v>
      </c>
      <c r="B1395" s="2" t="str">
        <f>"FES1162769225"</f>
        <v>FES1162769225</v>
      </c>
      <c r="C1395" s="2" t="s">
        <v>1008</v>
      </c>
      <c r="D1395" s="2">
        <v>1</v>
      </c>
      <c r="E1395" s="2" t="str">
        <f>"2170756245"</f>
        <v>2170756245</v>
      </c>
      <c r="F1395" s="2" t="s">
        <v>17</v>
      </c>
      <c r="G1395" s="2" t="s">
        <v>18</v>
      </c>
      <c r="H1395" s="2" t="s">
        <v>25</v>
      </c>
      <c r="I1395" s="2" t="s">
        <v>42</v>
      </c>
      <c r="J1395" s="2" t="s">
        <v>416</v>
      </c>
      <c r="K1395" s="2" t="s">
        <v>1084</v>
      </c>
      <c r="L1395" s="3">
        <v>0.50208333333333333</v>
      </c>
      <c r="M1395" s="2" t="s">
        <v>688</v>
      </c>
      <c r="N1395" s="2" t="s">
        <v>500</v>
      </c>
      <c r="O1395" s="2"/>
    </row>
    <row r="1396" spans="1:15" x14ac:dyDescent="0.25">
      <c r="A1396" s="2" t="s">
        <v>15</v>
      </c>
      <c r="B1396" s="2" t="str">
        <f>"FES1162769187"</f>
        <v>FES1162769187</v>
      </c>
      <c r="C1396" s="2" t="s">
        <v>1008</v>
      </c>
      <c r="D1396" s="2">
        <v>1</v>
      </c>
      <c r="E1396" s="2" t="str">
        <f>"2170756184"</f>
        <v>2170756184</v>
      </c>
      <c r="F1396" s="2" t="s">
        <v>17</v>
      </c>
      <c r="G1396" s="2" t="s">
        <v>18</v>
      </c>
      <c r="H1396" s="2" t="s">
        <v>19</v>
      </c>
      <c r="I1396" s="2" t="s">
        <v>20</v>
      </c>
      <c r="J1396" s="2" t="s">
        <v>123</v>
      </c>
      <c r="K1396" s="2" t="s">
        <v>1084</v>
      </c>
      <c r="L1396" s="3">
        <v>0.40902777777777777</v>
      </c>
      <c r="M1396" s="2" t="s">
        <v>233</v>
      </c>
      <c r="N1396" s="2" t="s">
        <v>500</v>
      </c>
      <c r="O1396" s="2"/>
    </row>
    <row r="1397" spans="1:15" x14ac:dyDescent="0.25">
      <c r="A1397" s="2" t="s">
        <v>15</v>
      </c>
      <c r="B1397" s="2" t="str">
        <f>"FES1162769176"</f>
        <v>FES1162769176</v>
      </c>
      <c r="C1397" s="2" t="s">
        <v>1008</v>
      </c>
      <c r="D1397" s="2">
        <v>1</v>
      </c>
      <c r="E1397" s="2" t="str">
        <f>"2170755795"</f>
        <v>2170755795</v>
      </c>
      <c r="F1397" s="2" t="s">
        <v>17</v>
      </c>
      <c r="G1397" s="2" t="s">
        <v>18</v>
      </c>
      <c r="H1397" s="2" t="s">
        <v>36</v>
      </c>
      <c r="I1397" s="2" t="s">
        <v>37</v>
      </c>
      <c r="J1397" s="2" t="s">
        <v>462</v>
      </c>
      <c r="K1397" s="2" t="s">
        <v>1084</v>
      </c>
      <c r="L1397" s="3">
        <v>0.36458333333333331</v>
      </c>
      <c r="M1397" s="2" t="s">
        <v>1193</v>
      </c>
      <c r="N1397" s="2" t="s">
        <v>500</v>
      </c>
      <c r="O1397" s="2"/>
    </row>
    <row r="1398" spans="1:15" x14ac:dyDescent="0.25">
      <c r="A1398" s="2" t="s">
        <v>15</v>
      </c>
      <c r="B1398" s="2" t="str">
        <f>"009940283529"</f>
        <v>009940283529</v>
      </c>
      <c r="C1398" s="2" t="s">
        <v>1008</v>
      </c>
      <c r="D1398" s="2">
        <v>1</v>
      </c>
      <c r="E1398" s="2" t="str">
        <f>"2170756014   REFER: 1162768127"</f>
        <v>2170756014   REFER: 1162768127</v>
      </c>
      <c r="F1398" s="2" t="s">
        <v>17</v>
      </c>
      <c r="G1398" s="2" t="s">
        <v>18</v>
      </c>
      <c r="H1398" s="2" t="s">
        <v>25</v>
      </c>
      <c r="I1398" s="2" t="s">
        <v>26</v>
      </c>
      <c r="J1398" s="2" t="s">
        <v>608</v>
      </c>
      <c r="K1398" s="2" t="s">
        <v>1084</v>
      </c>
      <c r="L1398" s="3">
        <v>0.38194444444444442</v>
      </c>
      <c r="M1398" s="2" t="s">
        <v>1194</v>
      </c>
      <c r="N1398" s="2" t="s">
        <v>500</v>
      </c>
      <c r="O1398" s="2"/>
    </row>
    <row r="1399" spans="1:15" x14ac:dyDescent="0.25">
      <c r="A1399" s="2" t="s">
        <v>15</v>
      </c>
      <c r="B1399" s="2" t="str">
        <f>"FES1162769227"</f>
        <v>FES1162769227</v>
      </c>
      <c r="C1399" s="2" t="s">
        <v>1008</v>
      </c>
      <c r="D1399" s="2">
        <v>1</v>
      </c>
      <c r="E1399" s="2" t="str">
        <f>"2170756263"</f>
        <v>2170756263</v>
      </c>
      <c r="F1399" s="2" t="s">
        <v>17</v>
      </c>
      <c r="G1399" s="2" t="s">
        <v>18</v>
      </c>
      <c r="H1399" s="2" t="s">
        <v>18</v>
      </c>
      <c r="I1399" s="2" t="s">
        <v>65</v>
      </c>
      <c r="J1399" s="2" t="s">
        <v>791</v>
      </c>
      <c r="K1399" s="2" t="s">
        <v>1084</v>
      </c>
      <c r="L1399" s="3">
        <v>0.33749999999999997</v>
      </c>
      <c r="M1399" s="2" t="s">
        <v>1162</v>
      </c>
      <c r="N1399" s="2" t="s">
        <v>500</v>
      </c>
      <c r="O1399" s="2"/>
    </row>
    <row r="1400" spans="1:15" x14ac:dyDescent="0.25">
      <c r="A1400" s="2" t="s">
        <v>15</v>
      </c>
      <c r="B1400" s="2" t="str">
        <f>"FES1162769233"</f>
        <v>FES1162769233</v>
      </c>
      <c r="C1400" s="2" t="s">
        <v>1008</v>
      </c>
      <c r="D1400" s="2">
        <v>1</v>
      </c>
      <c r="E1400" s="2" t="str">
        <f>"2170754936"</f>
        <v>2170754936</v>
      </c>
      <c r="F1400" s="2" t="s">
        <v>17</v>
      </c>
      <c r="G1400" s="2" t="s">
        <v>18</v>
      </c>
      <c r="H1400" s="2" t="s">
        <v>18</v>
      </c>
      <c r="I1400" s="2" t="s">
        <v>57</v>
      </c>
      <c r="J1400" s="2" t="s">
        <v>1134</v>
      </c>
      <c r="K1400" s="2" t="s">
        <v>1084</v>
      </c>
      <c r="L1400" s="3">
        <v>0.32916666666666666</v>
      </c>
      <c r="M1400" s="2" t="s">
        <v>328</v>
      </c>
      <c r="N1400" s="2" t="s">
        <v>500</v>
      </c>
      <c r="O1400" s="2"/>
    </row>
    <row r="1401" spans="1:15" x14ac:dyDescent="0.25">
      <c r="A1401" s="2" t="s">
        <v>15</v>
      </c>
      <c r="B1401" s="2" t="str">
        <f>"FES1162769082"</f>
        <v>FES1162769082</v>
      </c>
      <c r="C1401" s="2" t="s">
        <v>1008</v>
      </c>
      <c r="D1401" s="2">
        <v>1</v>
      </c>
      <c r="E1401" s="2" t="str">
        <f>"2170753799"</f>
        <v>2170753799</v>
      </c>
      <c r="F1401" s="2" t="s">
        <v>17</v>
      </c>
      <c r="G1401" s="2" t="s">
        <v>18</v>
      </c>
      <c r="H1401" s="2" t="s">
        <v>88</v>
      </c>
      <c r="I1401" s="2" t="s">
        <v>109</v>
      </c>
      <c r="J1401" s="2" t="s">
        <v>141</v>
      </c>
      <c r="K1401" s="2" t="s">
        <v>1084</v>
      </c>
      <c r="L1401" s="3">
        <v>0.36805555555555558</v>
      </c>
      <c r="M1401" s="2" t="s">
        <v>971</v>
      </c>
      <c r="N1401" s="2" t="s">
        <v>500</v>
      </c>
      <c r="O1401" s="2"/>
    </row>
    <row r="1402" spans="1:15" x14ac:dyDescent="0.25">
      <c r="A1402" s="2" t="s">
        <v>15</v>
      </c>
      <c r="B1402" s="2" t="str">
        <f>"FES1162769172"</f>
        <v>FES1162769172</v>
      </c>
      <c r="C1402" s="2" t="s">
        <v>1008</v>
      </c>
      <c r="D1402" s="2">
        <v>1</v>
      </c>
      <c r="E1402" s="2" t="str">
        <f>"2170755616"</f>
        <v>2170755616</v>
      </c>
      <c r="F1402" s="2" t="s">
        <v>17</v>
      </c>
      <c r="G1402" s="2" t="s">
        <v>18</v>
      </c>
      <c r="H1402" s="2" t="s">
        <v>19</v>
      </c>
      <c r="I1402" s="2" t="s">
        <v>111</v>
      </c>
      <c r="J1402" s="2" t="s">
        <v>1135</v>
      </c>
      <c r="K1402" s="2" t="s">
        <v>1084</v>
      </c>
      <c r="L1402" s="3">
        <v>0.4069444444444445</v>
      </c>
      <c r="M1402" s="2" t="s">
        <v>1195</v>
      </c>
      <c r="N1402" s="2" t="s">
        <v>500</v>
      </c>
      <c r="O1402" s="2"/>
    </row>
    <row r="1403" spans="1:15" x14ac:dyDescent="0.25">
      <c r="A1403" s="2" t="s">
        <v>15</v>
      </c>
      <c r="B1403" s="2" t="str">
        <f>"FES1162769107"</f>
        <v>FES1162769107</v>
      </c>
      <c r="C1403" s="2" t="s">
        <v>1008</v>
      </c>
      <c r="D1403" s="2">
        <v>1</v>
      </c>
      <c r="E1403" s="2" t="str">
        <f>"2170754697"</f>
        <v>2170754697</v>
      </c>
      <c r="F1403" s="2" t="s">
        <v>17</v>
      </c>
      <c r="G1403" s="2" t="s">
        <v>18</v>
      </c>
      <c r="H1403" s="2" t="s">
        <v>18</v>
      </c>
      <c r="I1403" s="2" t="s">
        <v>459</v>
      </c>
      <c r="J1403" s="2" t="s">
        <v>460</v>
      </c>
      <c r="K1403" s="2" t="s">
        <v>1084</v>
      </c>
      <c r="L1403" s="3">
        <v>0.375</v>
      </c>
      <c r="M1403" s="2" t="s">
        <v>392</v>
      </c>
      <c r="N1403" s="2" t="s">
        <v>500</v>
      </c>
      <c r="O1403" s="2"/>
    </row>
    <row r="1404" spans="1:15" x14ac:dyDescent="0.25">
      <c r="A1404" s="2" t="s">
        <v>15</v>
      </c>
      <c r="B1404" s="2" t="str">
        <f>"FES1162769109"</f>
        <v>FES1162769109</v>
      </c>
      <c r="C1404" s="2" t="s">
        <v>1008</v>
      </c>
      <c r="D1404" s="2">
        <v>1</v>
      </c>
      <c r="E1404" s="2" t="str">
        <f>"2170754711"</f>
        <v>2170754711</v>
      </c>
      <c r="F1404" s="2" t="s">
        <v>17</v>
      </c>
      <c r="G1404" s="2" t="s">
        <v>18</v>
      </c>
      <c r="H1404" s="2" t="s">
        <v>19</v>
      </c>
      <c r="I1404" s="2" t="s">
        <v>20</v>
      </c>
      <c r="J1404" s="2" t="s">
        <v>281</v>
      </c>
      <c r="K1404" s="2" t="s">
        <v>1084</v>
      </c>
      <c r="L1404" s="3">
        <v>0.4916666666666667</v>
      </c>
      <c r="M1404" s="2" t="s">
        <v>1196</v>
      </c>
      <c r="N1404" s="2" t="s">
        <v>500</v>
      </c>
      <c r="O1404" s="2"/>
    </row>
    <row r="1405" spans="1:15" x14ac:dyDescent="0.25">
      <c r="A1405" s="2" t="s">
        <v>15</v>
      </c>
      <c r="B1405" s="2" t="str">
        <f>"FES1162769080"</f>
        <v>FES1162769080</v>
      </c>
      <c r="C1405" s="2" t="s">
        <v>1008</v>
      </c>
      <c r="D1405" s="2">
        <v>1</v>
      </c>
      <c r="E1405" s="2" t="str">
        <f>"2170753741"</f>
        <v>2170753741</v>
      </c>
      <c r="F1405" s="2" t="s">
        <v>17</v>
      </c>
      <c r="G1405" s="2" t="s">
        <v>18</v>
      </c>
      <c r="H1405" s="2" t="s">
        <v>88</v>
      </c>
      <c r="I1405" s="2" t="s">
        <v>89</v>
      </c>
      <c r="J1405" s="2" t="s">
        <v>1136</v>
      </c>
      <c r="K1405" s="2" t="s">
        <v>1084</v>
      </c>
      <c r="L1405" s="3">
        <v>0.59166666666666667</v>
      </c>
      <c r="M1405" s="2" t="s">
        <v>1136</v>
      </c>
      <c r="N1405" s="2" t="s">
        <v>500</v>
      </c>
      <c r="O1405" s="2"/>
    </row>
    <row r="1406" spans="1:15" x14ac:dyDescent="0.25">
      <c r="A1406" s="2" t="s">
        <v>15</v>
      </c>
      <c r="B1406" s="2" t="str">
        <f>"FES1162769160"</f>
        <v>FES1162769160</v>
      </c>
      <c r="C1406" s="2" t="s">
        <v>1008</v>
      </c>
      <c r="D1406" s="2">
        <v>1</v>
      </c>
      <c r="E1406" s="2" t="str">
        <f>"2170755281"</f>
        <v>2170755281</v>
      </c>
      <c r="F1406" s="2" t="s">
        <v>17</v>
      </c>
      <c r="G1406" s="2" t="s">
        <v>18</v>
      </c>
      <c r="H1406" s="2" t="s">
        <v>78</v>
      </c>
      <c r="I1406" s="2" t="s">
        <v>159</v>
      </c>
      <c r="J1406" s="2" t="s">
        <v>402</v>
      </c>
      <c r="K1406" s="2" t="s">
        <v>1084</v>
      </c>
      <c r="L1406" s="3">
        <v>0.4680555555555555</v>
      </c>
      <c r="M1406" s="2" t="s">
        <v>1254</v>
      </c>
      <c r="N1406" s="2" t="s">
        <v>500</v>
      </c>
      <c r="O1406" s="2"/>
    </row>
    <row r="1407" spans="1:15" x14ac:dyDescent="0.25">
      <c r="A1407" s="2" t="s">
        <v>15</v>
      </c>
      <c r="B1407" s="2" t="str">
        <f>"FES1162769196"</f>
        <v>FES1162769196</v>
      </c>
      <c r="C1407" s="2" t="s">
        <v>1008</v>
      </c>
      <c r="D1407" s="2">
        <v>1</v>
      </c>
      <c r="E1407" s="2" t="str">
        <f>"2170756401"</f>
        <v>2170756401</v>
      </c>
      <c r="F1407" s="2" t="s">
        <v>17</v>
      </c>
      <c r="G1407" s="2" t="s">
        <v>18</v>
      </c>
      <c r="H1407" s="2" t="s">
        <v>19</v>
      </c>
      <c r="I1407" s="2" t="s">
        <v>111</v>
      </c>
      <c r="J1407" s="2" t="s">
        <v>385</v>
      </c>
      <c r="K1407" s="2" t="s">
        <v>1084</v>
      </c>
      <c r="L1407" s="3">
        <v>0.44166666666666665</v>
      </c>
      <c r="M1407" s="2" t="s">
        <v>1198</v>
      </c>
      <c r="N1407" s="2" t="s">
        <v>500</v>
      </c>
      <c r="O1407" s="2"/>
    </row>
    <row r="1408" spans="1:15" x14ac:dyDescent="0.25">
      <c r="A1408" s="2" t="s">
        <v>15</v>
      </c>
      <c r="B1408" s="2" t="str">
        <f>"FES1162769088"</f>
        <v>FES1162769088</v>
      </c>
      <c r="C1408" s="2" t="s">
        <v>1008</v>
      </c>
      <c r="D1408" s="2">
        <v>1</v>
      </c>
      <c r="E1408" s="2" t="str">
        <f>"2170754298"</f>
        <v>2170754298</v>
      </c>
      <c r="F1408" s="2" t="s">
        <v>17</v>
      </c>
      <c r="G1408" s="2" t="s">
        <v>18</v>
      </c>
      <c r="H1408" s="2" t="s">
        <v>19</v>
      </c>
      <c r="I1408" s="2" t="s">
        <v>20</v>
      </c>
      <c r="J1408" s="2" t="s">
        <v>359</v>
      </c>
      <c r="K1408" s="2" t="s">
        <v>1084</v>
      </c>
      <c r="L1408" s="3">
        <v>0.49444444444444446</v>
      </c>
      <c r="M1408" s="2" t="s">
        <v>360</v>
      </c>
      <c r="N1408" s="2" t="s">
        <v>500</v>
      </c>
      <c r="O1408" s="2"/>
    </row>
    <row r="1409" spans="1:15" x14ac:dyDescent="0.25">
      <c r="A1409" s="2" t="s">
        <v>15</v>
      </c>
      <c r="B1409" s="2" t="str">
        <f>"FES1162769237"</f>
        <v>FES1162769237</v>
      </c>
      <c r="C1409" s="2" t="s">
        <v>1008</v>
      </c>
      <c r="D1409" s="2">
        <v>1</v>
      </c>
      <c r="E1409" s="2" t="str">
        <f>"2170755344"</f>
        <v>2170755344</v>
      </c>
      <c r="F1409" s="2" t="s">
        <v>17</v>
      </c>
      <c r="G1409" s="2" t="s">
        <v>18</v>
      </c>
      <c r="H1409" s="2" t="s">
        <v>25</v>
      </c>
      <c r="I1409" s="2" t="s">
        <v>1137</v>
      </c>
      <c r="J1409" s="2" t="s">
        <v>1138</v>
      </c>
      <c r="K1409" s="2" t="s">
        <v>1190</v>
      </c>
      <c r="L1409" s="3">
        <v>0.44513888888888892</v>
      </c>
      <c r="M1409" s="2" t="s">
        <v>1255</v>
      </c>
      <c r="N1409" s="2" t="s">
        <v>500</v>
      </c>
      <c r="O1409" s="2"/>
    </row>
    <row r="1410" spans="1:15" x14ac:dyDescent="0.25">
      <c r="A1410" s="2" t="s">
        <v>15</v>
      </c>
      <c r="B1410" s="2" t="str">
        <f>"FES1162769216"</f>
        <v>FES1162769216</v>
      </c>
      <c r="C1410" s="2" t="s">
        <v>1008</v>
      </c>
      <c r="D1410" s="2">
        <v>1</v>
      </c>
      <c r="E1410" s="2" t="str">
        <f>"2170749110"</f>
        <v>2170749110</v>
      </c>
      <c r="F1410" s="2" t="s">
        <v>17</v>
      </c>
      <c r="G1410" s="2" t="s">
        <v>18</v>
      </c>
      <c r="H1410" s="2" t="s">
        <v>88</v>
      </c>
      <c r="I1410" s="2" t="s">
        <v>109</v>
      </c>
      <c r="J1410" s="2" t="s">
        <v>155</v>
      </c>
      <c r="K1410" s="2" t="s">
        <v>1084</v>
      </c>
      <c r="L1410" s="3">
        <v>0.3659722222222222</v>
      </c>
      <c r="M1410" s="2" t="s">
        <v>251</v>
      </c>
      <c r="N1410" s="2" t="s">
        <v>500</v>
      </c>
      <c r="O1410" s="2"/>
    </row>
    <row r="1411" spans="1:15" x14ac:dyDescent="0.25">
      <c r="A1411" s="2" t="s">
        <v>15</v>
      </c>
      <c r="B1411" s="2" t="str">
        <f>"FES1162769119"</f>
        <v>FES1162769119</v>
      </c>
      <c r="C1411" s="2" t="s">
        <v>1008</v>
      </c>
      <c r="D1411" s="2">
        <v>1</v>
      </c>
      <c r="E1411" s="2" t="str">
        <f>"2170754903"</f>
        <v>2170754903</v>
      </c>
      <c r="F1411" s="2" t="s">
        <v>17</v>
      </c>
      <c r="G1411" s="2" t="s">
        <v>18</v>
      </c>
      <c r="H1411" s="2" t="s">
        <v>363</v>
      </c>
      <c r="I1411" s="2" t="s">
        <v>489</v>
      </c>
      <c r="J1411" s="2" t="s">
        <v>490</v>
      </c>
      <c r="K1411" s="2" t="s">
        <v>1084</v>
      </c>
      <c r="L1411" s="3">
        <v>0.39583333333333331</v>
      </c>
      <c r="M1411" s="2" t="s">
        <v>699</v>
      </c>
      <c r="N1411" s="2" t="s">
        <v>500</v>
      </c>
      <c r="O1411" s="2"/>
    </row>
    <row r="1412" spans="1:15" x14ac:dyDescent="0.25">
      <c r="A1412" s="2" t="s">
        <v>15</v>
      </c>
      <c r="B1412" s="2" t="str">
        <f>"FES1162769079"</f>
        <v>FES1162769079</v>
      </c>
      <c r="C1412" s="2" t="s">
        <v>1008</v>
      </c>
      <c r="D1412" s="2">
        <v>1</v>
      </c>
      <c r="E1412" s="2" t="str">
        <f>"2170753735"</f>
        <v>2170753735</v>
      </c>
      <c r="F1412" s="2" t="s">
        <v>17</v>
      </c>
      <c r="G1412" s="2" t="s">
        <v>18</v>
      </c>
      <c r="H1412" s="2" t="s">
        <v>18</v>
      </c>
      <c r="I1412" s="2" t="s">
        <v>459</v>
      </c>
      <c r="J1412" s="2" t="s">
        <v>460</v>
      </c>
      <c r="K1412" s="2" t="s">
        <v>1084</v>
      </c>
      <c r="L1412" s="3">
        <v>0.375</v>
      </c>
      <c r="M1412" s="2" t="s">
        <v>392</v>
      </c>
      <c r="N1412" s="2" t="s">
        <v>500</v>
      </c>
      <c r="O1412" s="2"/>
    </row>
    <row r="1413" spans="1:15" x14ac:dyDescent="0.25">
      <c r="A1413" s="2" t="s">
        <v>15</v>
      </c>
      <c r="B1413" s="2" t="str">
        <f>"FES1162769060"</f>
        <v>FES1162769060</v>
      </c>
      <c r="C1413" s="2" t="s">
        <v>1008</v>
      </c>
      <c r="D1413" s="2">
        <v>1</v>
      </c>
      <c r="E1413" s="2" t="str">
        <f>"2170751850"</f>
        <v>2170751850</v>
      </c>
      <c r="F1413" s="2" t="s">
        <v>17</v>
      </c>
      <c r="G1413" s="2" t="s">
        <v>18</v>
      </c>
      <c r="H1413" s="2" t="s">
        <v>18</v>
      </c>
      <c r="I1413" s="2" t="s">
        <v>459</v>
      </c>
      <c r="J1413" s="2" t="s">
        <v>460</v>
      </c>
      <c r="K1413" s="2" t="s">
        <v>1084</v>
      </c>
      <c r="L1413" s="3">
        <v>0.375</v>
      </c>
      <c r="M1413" s="2" t="s">
        <v>392</v>
      </c>
      <c r="N1413" s="2" t="s">
        <v>500</v>
      </c>
      <c r="O1413" s="2"/>
    </row>
    <row r="1414" spans="1:15" x14ac:dyDescent="0.25">
      <c r="A1414" s="2" t="s">
        <v>15</v>
      </c>
      <c r="B1414" s="2" t="str">
        <f>"FES1162769122"</f>
        <v>FES1162769122</v>
      </c>
      <c r="C1414" s="2" t="s">
        <v>1008</v>
      </c>
      <c r="D1414" s="2">
        <v>1</v>
      </c>
      <c r="E1414" s="2" t="str">
        <f>"2170754934"</f>
        <v>2170754934</v>
      </c>
      <c r="F1414" s="2" t="s">
        <v>17</v>
      </c>
      <c r="G1414" s="2" t="s">
        <v>18</v>
      </c>
      <c r="H1414" s="2" t="s">
        <v>19</v>
      </c>
      <c r="I1414" s="2" t="s">
        <v>111</v>
      </c>
      <c r="J1414" s="2" t="s">
        <v>629</v>
      </c>
      <c r="K1414" s="2" t="s">
        <v>1084</v>
      </c>
      <c r="L1414" s="3">
        <v>0.37986111111111115</v>
      </c>
      <c r="M1414" s="2" t="s">
        <v>1199</v>
      </c>
      <c r="N1414" s="2" t="s">
        <v>500</v>
      </c>
      <c r="O1414" s="2"/>
    </row>
    <row r="1415" spans="1:15" x14ac:dyDescent="0.25">
      <c r="A1415" s="2" t="s">
        <v>15</v>
      </c>
      <c r="B1415" s="2" t="str">
        <f>"FES1162769086"</f>
        <v>FES1162769086</v>
      </c>
      <c r="C1415" s="2" t="s">
        <v>1008</v>
      </c>
      <c r="D1415" s="2">
        <v>1</v>
      </c>
      <c r="E1415" s="2" t="str">
        <f>"2170753890"</f>
        <v>2170753890</v>
      </c>
      <c r="F1415" s="2" t="s">
        <v>17</v>
      </c>
      <c r="G1415" s="2" t="s">
        <v>18</v>
      </c>
      <c r="H1415" s="2" t="s">
        <v>18</v>
      </c>
      <c r="I1415" s="2" t="s">
        <v>157</v>
      </c>
      <c r="J1415" s="2" t="s">
        <v>347</v>
      </c>
      <c r="K1415" s="2" t="s">
        <v>1084</v>
      </c>
      <c r="L1415" s="3">
        <v>0.375</v>
      </c>
      <c r="M1415" s="2" t="s">
        <v>828</v>
      </c>
      <c r="N1415" s="2" t="s">
        <v>500</v>
      </c>
      <c r="O1415" s="2"/>
    </row>
    <row r="1416" spans="1:15" x14ac:dyDescent="0.25">
      <c r="A1416" s="2" t="s">
        <v>15</v>
      </c>
      <c r="B1416" s="2" t="str">
        <f>"FES1162769077"</f>
        <v>FES1162769077</v>
      </c>
      <c r="C1416" s="2" t="s">
        <v>1008</v>
      </c>
      <c r="D1416" s="2">
        <v>1</v>
      </c>
      <c r="E1416" s="2" t="str">
        <f>"2170753679"</f>
        <v>2170753679</v>
      </c>
      <c r="F1416" s="2" t="s">
        <v>17</v>
      </c>
      <c r="G1416" s="2" t="s">
        <v>18</v>
      </c>
      <c r="H1416" s="2" t="s">
        <v>206</v>
      </c>
      <c r="I1416" s="2" t="s">
        <v>46</v>
      </c>
      <c r="J1416" s="2" t="s">
        <v>470</v>
      </c>
      <c r="K1416" s="2" t="s">
        <v>1084</v>
      </c>
      <c r="L1416" s="3">
        <v>0.34513888888888888</v>
      </c>
      <c r="M1416" s="2" t="s">
        <v>1200</v>
      </c>
      <c r="N1416" s="2" t="s">
        <v>500</v>
      </c>
      <c r="O1416" s="2"/>
    </row>
    <row r="1417" spans="1:15" x14ac:dyDescent="0.25">
      <c r="A1417" s="2" t="s">
        <v>15</v>
      </c>
      <c r="B1417" s="2" t="str">
        <f>"FES1162769089"</f>
        <v>FES1162769089</v>
      </c>
      <c r="C1417" s="2" t="s">
        <v>1008</v>
      </c>
      <c r="D1417" s="2">
        <v>1</v>
      </c>
      <c r="E1417" s="2" t="str">
        <f>"2170754326"</f>
        <v>2170754326</v>
      </c>
      <c r="F1417" s="2" t="s">
        <v>17</v>
      </c>
      <c r="G1417" s="2" t="s">
        <v>18</v>
      </c>
      <c r="H1417" s="2" t="s">
        <v>18</v>
      </c>
      <c r="I1417" s="2" t="s">
        <v>116</v>
      </c>
      <c r="J1417" s="2" t="s">
        <v>1139</v>
      </c>
      <c r="K1417" s="2" t="s">
        <v>1084</v>
      </c>
      <c r="L1417" s="3">
        <v>0.36458333333333331</v>
      </c>
      <c r="M1417" s="2" t="s">
        <v>1201</v>
      </c>
      <c r="N1417" s="2" t="s">
        <v>500</v>
      </c>
      <c r="O1417" s="2"/>
    </row>
    <row r="1418" spans="1:15" x14ac:dyDescent="0.25">
      <c r="A1418" s="2" t="s">
        <v>15</v>
      </c>
      <c r="B1418" s="2" t="str">
        <f>"FES1162769206"</f>
        <v>FES1162769206</v>
      </c>
      <c r="C1418" s="2" t="s">
        <v>1008</v>
      </c>
      <c r="D1418" s="2">
        <v>1</v>
      </c>
      <c r="E1418" s="2" t="str">
        <f>"2170756505"</f>
        <v>2170756505</v>
      </c>
      <c r="F1418" s="2" t="s">
        <v>17</v>
      </c>
      <c r="G1418" s="2" t="s">
        <v>18</v>
      </c>
      <c r="H1418" s="2" t="s">
        <v>19</v>
      </c>
      <c r="I1418" s="2" t="s">
        <v>20</v>
      </c>
      <c r="J1418" s="2" t="s">
        <v>359</v>
      </c>
      <c r="K1418" s="2" t="s">
        <v>1084</v>
      </c>
      <c r="L1418" s="3">
        <v>0.49444444444444446</v>
      </c>
      <c r="M1418" s="2" t="s">
        <v>360</v>
      </c>
      <c r="N1418" s="2" t="s">
        <v>500</v>
      </c>
      <c r="O1418" s="2"/>
    </row>
    <row r="1419" spans="1:15" x14ac:dyDescent="0.25">
      <c r="A1419" s="2" t="s">
        <v>15</v>
      </c>
      <c r="B1419" s="2" t="str">
        <f>"FES1162769198"</f>
        <v>FES1162769198</v>
      </c>
      <c r="C1419" s="2" t="s">
        <v>1008</v>
      </c>
      <c r="D1419" s="2">
        <v>1</v>
      </c>
      <c r="E1419" s="2" t="str">
        <f>"2170756443"</f>
        <v>2170756443</v>
      </c>
      <c r="F1419" s="2" t="s">
        <v>17</v>
      </c>
      <c r="G1419" s="2" t="s">
        <v>18</v>
      </c>
      <c r="H1419" s="2" t="s">
        <v>19</v>
      </c>
      <c r="I1419" s="2" t="s">
        <v>111</v>
      </c>
      <c r="J1419" s="2" t="s">
        <v>1140</v>
      </c>
      <c r="K1419" s="2" t="s">
        <v>1084</v>
      </c>
      <c r="L1419" s="3">
        <v>0.4284722222222222</v>
      </c>
      <c r="M1419" s="2" t="s">
        <v>1202</v>
      </c>
      <c r="N1419" s="2" t="s">
        <v>500</v>
      </c>
      <c r="O1419" s="2"/>
    </row>
    <row r="1420" spans="1:15" x14ac:dyDescent="0.25">
      <c r="A1420" s="2" t="s">
        <v>15</v>
      </c>
      <c r="B1420" s="2" t="str">
        <f>"FES1162769099"</f>
        <v>FES1162769099</v>
      </c>
      <c r="C1420" s="2" t="s">
        <v>1008</v>
      </c>
      <c r="D1420" s="2">
        <v>1</v>
      </c>
      <c r="E1420" s="2" t="str">
        <f>"2170754444"</f>
        <v>2170754444</v>
      </c>
      <c r="F1420" s="2" t="s">
        <v>17</v>
      </c>
      <c r="G1420" s="2" t="s">
        <v>18</v>
      </c>
      <c r="H1420" s="2" t="s">
        <v>19</v>
      </c>
      <c r="I1420" s="2" t="s">
        <v>20</v>
      </c>
      <c r="J1420" s="2" t="s">
        <v>21</v>
      </c>
      <c r="K1420" s="2" t="s">
        <v>1084</v>
      </c>
      <c r="L1420" s="3">
        <v>0.37638888888888888</v>
      </c>
      <c r="M1420" s="2" t="s">
        <v>263</v>
      </c>
      <c r="N1420" s="2" t="s">
        <v>500</v>
      </c>
      <c r="O1420" s="2"/>
    </row>
    <row r="1421" spans="1:15" x14ac:dyDescent="0.25">
      <c r="A1421" s="2" t="s">
        <v>15</v>
      </c>
      <c r="B1421" s="2" t="str">
        <f>"FES1162769177"</f>
        <v>FES1162769177</v>
      </c>
      <c r="C1421" s="2" t="s">
        <v>1008</v>
      </c>
      <c r="D1421" s="2">
        <v>1</v>
      </c>
      <c r="E1421" s="2" t="str">
        <f>"2170755882"</f>
        <v>2170755882</v>
      </c>
      <c r="F1421" s="2" t="s">
        <v>17</v>
      </c>
      <c r="G1421" s="2" t="s">
        <v>18</v>
      </c>
      <c r="H1421" s="2" t="s">
        <v>78</v>
      </c>
      <c r="I1421" s="2" t="s">
        <v>79</v>
      </c>
      <c r="J1421" s="2" t="s">
        <v>80</v>
      </c>
      <c r="K1421" s="2" t="s">
        <v>1084</v>
      </c>
      <c r="L1421" s="3">
        <v>0.39999999999999997</v>
      </c>
      <c r="M1421" s="2" t="s">
        <v>199</v>
      </c>
      <c r="N1421" s="2" t="s">
        <v>500</v>
      </c>
      <c r="O1421" s="2"/>
    </row>
    <row r="1422" spans="1:15" x14ac:dyDescent="0.25">
      <c r="A1422" s="2" t="s">
        <v>15</v>
      </c>
      <c r="B1422" s="2" t="str">
        <f>"009940283636"</f>
        <v>009940283636</v>
      </c>
      <c r="C1422" s="2" t="s">
        <v>1008</v>
      </c>
      <c r="D1422" s="2">
        <v>1</v>
      </c>
      <c r="E1422" s="2" t="str">
        <f>"1162767047"</f>
        <v>1162767047</v>
      </c>
      <c r="F1422" s="2" t="s">
        <v>17</v>
      </c>
      <c r="G1422" s="2" t="s">
        <v>18</v>
      </c>
      <c r="H1422" s="2" t="s">
        <v>18</v>
      </c>
      <c r="I1422" s="2" t="s">
        <v>897</v>
      </c>
      <c r="J1422" s="2" t="s">
        <v>71</v>
      </c>
      <c r="K1422" s="2" t="s">
        <v>1190</v>
      </c>
      <c r="L1422" s="3">
        <v>0.67638888888888893</v>
      </c>
      <c r="M1422" s="2" t="s">
        <v>502</v>
      </c>
      <c r="N1422" s="2" t="s">
        <v>500</v>
      </c>
      <c r="O1422" s="2"/>
    </row>
    <row r="1423" spans="1:15" x14ac:dyDescent="0.25">
      <c r="A1423" s="2" t="s">
        <v>15</v>
      </c>
      <c r="B1423" s="2" t="str">
        <f>"FES1162769159"</f>
        <v>FES1162769159</v>
      </c>
      <c r="C1423" s="2" t="s">
        <v>1008</v>
      </c>
      <c r="D1423" s="2">
        <v>1</v>
      </c>
      <c r="E1423" s="2" t="str">
        <f>"2170755280"</f>
        <v>2170755280</v>
      </c>
      <c r="F1423" s="2" t="s">
        <v>17</v>
      </c>
      <c r="G1423" s="2" t="s">
        <v>18</v>
      </c>
      <c r="H1423" s="2" t="s">
        <v>88</v>
      </c>
      <c r="I1423" s="2" t="s">
        <v>109</v>
      </c>
      <c r="J1423" s="2" t="s">
        <v>110</v>
      </c>
      <c r="K1423" s="2" t="s">
        <v>1084</v>
      </c>
      <c r="L1423" s="3">
        <v>0.38680555555555557</v>
      </c>
      <c r="M1423" s="2" t="s">
        <v>224</v>
      </c>
      <c r="N1423" s="2" t="s">
        <v>500</v>
      </c>
      <c r="O1423" s="2"/>
    </row>
    <row r="1424" spans="1:15" x14ac:dyDescent="0.25">
      <c r="A1424" s="2" t="s">
        <v>15</v>
      </c>
      <c r="B1424" s="2" t="str">
        <f>"FES1162769240"</f>
        <v>FES1162769240</v>
      </c>
      <c r="C1424" s="2" t="s">
        <v>1008</v>
      </c>
      <c r="D1424" s="2">
        <v>1</v>
      </c>
      <c r="E1424" s="2" t="str">
        <f>"2170750459"</f>
        <v>2170750459</v>
      </c>
      <c r="F1424" s="2" t="s">
        <v>205</v>
      </c>
      <c r="G1424" s="2" t="s">
        <v>206</v>
      </c>
      <c r="H1424" s="2" t="s">
        <v>206</v>
      </c>
      <c r="I1424" s="2" t="s">
        <v>46</v>
      </c>
      <c r="J1424" s="2" t="s">
        <v>1141</v>
      </c>
      <c r="K1424" s="2" t="s">
        <v>1084</v>
      </c>
      <c r="L1424" s="3">
        <v>0.31597222222222221</v>
      </c>
      <c r="M1424" s="2" t="s">
        <v>1142</v>
      </c>
      <c r="N1424" s="2" t="s">
        <v>500</v>
      </c>
      <c r="O1424" s="2"/>
    </row>
    <row r="1425" spans="1:15" x14ac:dyDescent="0.25">
      <c r="A1425" s="2" t="s">
        <v>15</v>
      </c>
      <c r="B1425" s="2" t="str">
        <f>"FES1162769255"</f>
        <v>FES1162769255</v>
      </c>
      <c r="C1425" s="2" t="s">
        <v>1008</v>
      </c>
      <c r="D1425" s="2">
        <v>1</v>
      </c>
      <c r="E1425" s="2" t="str">
        <f>"2170753646"</f>
        <v>2170753646</v>
      </c>
      <c r="F1425" s="2" t="s">
        <v>17</v>
      </c>
      <c r="G1425" s="2" t="s">
        <v>18</v>
      </c>
      <c r="H1425" s="2" t="s">
        <v>25</v>
      </c>
      <c r="I1425" s="2" t="s">
        <v>26</v>
      </c>
      <c r="J1425" s="2" t="s">
        <v>1143</v>
      </c>
      <c r="K1425" s="2" t="s">
        <v>1084</v>
      </c>
      <c r="L1425" s="3">
        <v>0.41666666666666669</v>
      </c>
      <c r="M1425" s="2" t="s">
        <v>1203</v>
      </c>
      <c r="N1425" s="2" t="s">
        <v>500</v>
      </c>
      <c r="O1425" s="2"/>
    </row>
    <row r="1426" spans="1:15" x14ac:dyDescent="0.25">
      <c r="A1426" s="2" t="s">
        <v>15</v>
      </c>
      <c r="B1426" s="2" t="str">
        <f>"FES1162769271"</f>
        <v>FES1162769271</v>
      </c>
      <c r="C1426" s="2" t="s">
        <v>1008</v>
      </c>
      <c r="D1426" s="2">
        <v>1</v>
      </c>
      <c r="E1426" s="2" t="str">
        <f>"2170754459"</f>
        <v>2170754459</v>
      </c>
      <c r="F1426" s="2" t="s">
        <v>17</v>
      </c>
      <c r="G1426" s="2" t="s">
        <v>18</v>
      </c>
      <c r="H1426" s="2" t="s">
        <v>25</v>
      </c>
      <c r="I1426" s="2" t="s">
        <v>26</v>
      </c>
      <c r="J1426" s="2" t="s">
        <v>94</v>
      </c>
      <c r="K1426" s="2" t="s">
        <v>1084</v>
      </c>
      <c r="L1426" s="3">
        <v>0.41666666666666669</v>
      </c>
      <c r="M1426" s="2" t="s">
        <v>1114</v>
      </c>
      <c r="N1426" s="2" t="s">
        <v>500</v>
      </c>
      <c r="O1426" s="2"/>
    </row>
    <row r="1427" spans="1:15" x14ac:dyDescent="0.25">
      <c r="A1427" s="2" t="s">
        <v>15</v>
      </c>
      <c r="B1427" s="2" t="str">
        <f>"FES1162769247"</f>
        <v>FES1162769247</v>
      </c>
      <c r="C1427" s="2" t="s">
        <v>1008</v>
      </c>
      <c r="D1427" s="2">
        <v>1</v>
      </c>
      <c r="E1427" s="2" t="str">
        <f>"2170752626"</f>
        <v>2170752626</v>
      </c>
      <c r="F1427" s="2" t="s">
        <v>17</v>
      </c>
      <c r="G1427" s="2" t="s">
        <v>18</v>
      </c>
      <c r="H1427" s="2" t="s">
        <v>25</v>
      </c>
      <c r="I1427" s="2" t="s">
        <v>26</v>
      </c>
      <c r="J1427" s="2" t="s">
        <v>1144</v>
      </c>
      <c r="K1427" s="2" t="s">
        <v>1084</v>
      </c>
      <c r="L1427" s="3">
        <v>0.50138888888888888</v>
      </c>
      <c r="M1427" s="2" t="s">
        <v>1204</v>
      </c>
      <c r="N1427" s="2" t="s">
        <v>500</v>
      </c>
      <c r="O1427" s="2"/>
    </row>
    <row r="1428" spans="1:15" x14ac:dyDescent="0.25">
      <c r="A1428" s="2" t="s">
        <v>15</v>
      </c>
      <c r="B1428" s="2" t="str">
        <f>"FES1162769270"</f>
        <v>FES1162769270</v>
      </c>
      <c r="C1428" s="2" t="s">
        <v>1008</v>
      </c>
      <c r="D1428" s="2">
        <v>1</v>
      </c>
      <c r="E1428" s="2" t="str">
        <f>"2170754432"</f>
        <v>2170754432</v>
      </c>
      <c r="F1428" s="2" t="s">
        <v>17</v>
      </c>
      <c r="G1428" s="2" t="s">
        <v>18</v>
      </c>
      <c r="H1428" s="2" t="s">
        <v>25</v>
      </c>
      <c r="I1428" s="2" t="s">
        <v>26</v>
      </c>
      <c r="J1428" s="2" t="s">
        <v>474</v>
      </c>
      <c r="K1428" s="2" t="s">
        <v>1084</v>
      </c>
      <c r="L1428" s="3">
        <v>0.41666666666666669</v>
      </c>
      <c r="M1428" s="2" t="s">
        <v>1168</v>
      </c>
      <c r="N1428" s="2" t="s">
        <v>500</v>
      </c>
      <c r="O1428" s="2"/>
    </row>
    <row r="1429" spans="1:15" x14ac:dyDescent="0.25">
      <c r="A1429" s="2" t="s">
        <v>15</v>
      </c>
      <c r="B1429" s="2" t="str">
        <f>"FES1162769259"</f>
        <v>FES1162769259</v>
      </c>
      <c r="C1429" s="2" t="s">
        <v>1008</v>
      </c>
      <c r="D1429" s="2">
        <v>1</v>
      </c>
      <c r="E1429" s="2" t="str">
        <f>"2170753850"</f>
        <v>2170753850</v>
      </c>
      <c r="F1429" s="2" t="s">
        <v>17</v>
      </c>
      <c r="G1429" s="2" t="s">
        <v>18</v>
      </c>
      <c r="H1429" s="2" t="s">
        <v>25</v>
      </c>
      <c r="I1429" s="2" t="s">
        <v>39</v>
      </c>
      <c r="J1429" s="2" t="s">
        <v>161</v>
      </c>
      <c r="K1429" s="2" t="s">
        <v>1084</v>
      </c>
      <c r="L1429" s="3">
        <v>0.47916666666666669</v>
      </c>
      <c r="M1429" s="2" t="s">
        <v>977</v>
      </c>
      <c r="N1429" s="2" t="s">
        <v>500</v>
      </c>
      <c r="O1429" s="2"/>
    </row>
    <row r="1430" spans="1:15" x14ac:dyDescent="0.25">
      <c r="A1430" s="2" t="s">
        <v>15</v>
      </c>
      <c r="B1430" s="2" t="str">
        <f>"FES1162769273"</f>
        <v>FES1162769273</v>
      </c>
      <c r="C1430" s="2" t="s">
        <v>1008</v>
      </c>
      <c r="D1430" s="2">
        <v>1</v>
      </c>
      <c r="E1430" s="2" t="str">
        <f>"2170754480"</f>
        <v>2170754480</v>
      </c>
      <c r="F1430" s="2" t="s">
        <v>17</v>
      </c>
      <c r="G1430" s="2" t="s">
        <v>18</v>
      </c>
      <c r="H1430" s="2" t="s">
        <v>18</v>
      </c>
      <c r="I1430" s="2" t="s">
        <v>50</v>
      </c>
      <c r="J1430" s="2" t="s">
        <v>1145</v>
      </c>
      <c r="K1430" s="2" t="s">
        <v>1084</v>
      </c>
      <c r="L1430" s="3">
        <v>0.41111111111111115</v>
      </c>
      <c r="M1430" s="2" t="s">
        <v>1205</v>
      </c>
      <c r="N1430" s="2" t="s">
        <v>500</v>
      </c>
      <c r="O1430" s="2"/>
    </row>
    <row r="1431" spans="1:15" x14ac:dyDescent="0.25">
      <c r="A1431" s="2" t="s">
        <v>15</v>
      </c>
      <c r="B1431" s="2" t="str">
        <f>"FES1162769321"</f>
        <v>FES1162769321</v>
      </c>
      <c r="C1431" s="2" t="s">
        <v>1008</v>
      </c>
      <c r="D1431" s="2">
        <v>1</v>
      </c>
      <c r="E1431" s="2" t="str">
        <f>"2170754820"</f>
        <v>2170754820</v>
      </c>
      <c r="F1431" s="2" t="s">
        <v>17</v>
      </c>
      <c r="G1431" s="2" t="s">
        <v>18</v>
      </c>
      <c r="H1431" s="2" t="s">
        <v>18</v>
      </c>
      <c r="I1431" s="2" t="s">
        <v>57</v>
      </c>
      <c r="J1431" s="2" t="s">
        <v>888</v>
      </c>
      <c r="K1431" s="2" t="s">
        <v>1084</v>
      </c>
      <c r="L1431" s="3">
        <v>0.30486111111111108</v>
      </c>
      <c r="M1431" s="2" t="s">
        <v>1206</v>
      </c>
      <c r="N1431" s="2" t="s">
        <v>500</v>
      </c>
      <c r="O1431" s="2"/>
    </row>
    <row r="1432" spans="1:15" x14ac:dyDescent="0.25">
      <c r="A1432" s="2" t="s">
        <v>15</v>
      </c>
      <c r="B1432" s="2" t="str">
        <f>"FES1162769284"</f>
        <v>FES1162769284</v>
      </c>
      <c r="C1432" s="2" t="s">
        <v>1008</v>
      </c>
      <c r="D1432" s="2">
        <v>1</v>
      </c>
      <c r="E1432" s="2" t="str">
        <f>"2170754577"</f>
        <v>2170754577</v>
      </c>
      <c r="F1432" s="2" t="s">
        <v>17</v>
      </c>
      <c r="G1432" s="2" t="s">
        <v>18</v>
      </c>
      <c r="H1432" s="2" t="s">
        <v>25</v>
      </c>
      <c r="I1432" s="2" t="s">
        <v>26</v>
      </c>
      <c r="J1432" s="2" t="s">
        <v>417</v>
      </c>
      <c r="K1432" s="2" t="s">
        <v>1084</v>
      </c>
      <c r="L1432" s="3">
        <v>0.42430555555555555</v>
      </c>
      <c r="M1432" s="2" t="s">
        <v>354</v>
      </c>
      <c r="N1432" s="2" t="s">
        <v>500</v>
      </c>
      <c r="O1432" s="2"/>
    </row>
    <row r="1433" spans="1:15" x14ac:dyDescent="0.25">
      <c r="A1433" s="2" t="s">
        <v>15</v>
      </c>
      <c r="B1433" s="2" t="str">
        <f>"FES1162769323"</f>
        <v>FES1162769323</v>
      </c>
      <c r="C1433" s="2" t="s">
        <v>1008</v>
      </c>
      <c r="D1433" s="2">
        <v>1</v>
      </c>
      <c r="E1433" s="2" t="str">
        <f>"2170754831"</f>
        <v>2170754831</v>
      </c>
      <c r="F1433" s="2" t="s">
        <v>17</v>
      </c>
      <c r="G1433" s="2" t="s">
        <v>18</v>
      </c>
      <c r="H1433" s="2" t="s">
        <v>25</v>
      </c>
      <c r="I1433" s="2" t="s">
        <v>26</v>
      </c>
      <c r="J1433" s="2" t="s">
        <v>785</v>
      </c>
      <c r="K1433" s="2" t="s">
        <v>1084</v>
      </c>
      <c r="L1433" s="3">
        <v>0.52152777777777781</v>
      </c>
      <c r="M1433" s="2" t="s">
        <v>1207</v>
      </c>
      <c r="N1433" s="2" t="s">
        <v>500</v>
      </c>
      <c r="O1433" s="2"/>
    </row>
    <row r="1434" spans="1:15" x14ac:dyDescent="0.25">
      <c r="A1434" s="2" t="s">
        <v>15</v>
      </c>
      <c r="B1434" s="2" t="str">
        <f>"FES1162769330"</f>
        <v>FES1162769330</v>
      </c>
      <c r="C1434" s="2" t="s">
        <v>1008</v>
      </c>
      <c r="D1434" s="2">
        <v>1</v>
      </c>
      <c r="E1434" s="2" t="str">
        <f>"2170755970"</f>
        <v>2170755970</v>
      </c>
      <c r="F1434" s="2" t="s">
        <v>17</v>
      </c>
      <c r="G1434" s="2" t="s">
        <v>18</v>
      </c>
      <c r="H1434" s="2" t="s">
        <v>25</v>
      </c>
      <c r="I1434" s="2" t="s">
        <v>26</v>
      </c>
      <c r="J1434" s="2" t="s">
        <v>605</v>
      </c>
      <c r="K1434" s="2" t="s">
        <v>1084</v>
      </c>
      <c r="L1434" s="3">
        <v>0.39583333333333331</v>
      </c>
      <c r="M1434" s="2" t="s">
        <v>1208</v>
      </c>
      <c r="N1434" s="2" t="s">
        <v>500</v>
      </c>
      <c r="O1434" s="2"/>
    </row>
    <row r="1435" spans="1:15" x14ac:dyDescent="0.25">
      <c r="A1435" s="2" t="s">
        <v>15</v>
      </c>
      <c r="B1435" s="2" t="str">
        <f>"FES1162769261"</f>
        <v>FES1162769261</v>
      </c>
      <c r="C1435" s="2" t="s">
        <v>1008</v>
      </c>
      <c r="D1435" s="2">
        <v>1</v>
      </c>
      <c r="E1435" s="2" t="str">
        <f>"2170753934"</f>
        <v>2170753934</v>
      </c>
      <c r="F1435" s="2" t="s">
        <v>17</v>
      </c>
      <c r="G1435" s="2" t="s">
        <v>18</v>
      </c>
      <c r="H1435" s="2" t="s">
        <v>25</v>
      </c>
      <c r="I1435" s="2" t="s">
        <v>125</v>
      </c>
      <c r="J1435" s="2" t="s">
        <v>126</v>
      </c>
      <c r="K1435" s="2" t="s">
        <v>1084</v>
      </c>
      <c r="L1435" s="3">
        <v>0.43055555555555558</v>
      </c>
      <c r="M1435" s="2" t="s">
        <v>1189</v>
      </c>
      <c r="N1435" s="2" t="s">
        <v>500</v>
      </c>
      <c r="O1435" s="2"/>
    </row>
    <row r="1436" spans="1:15" x14ac:dyDescent="0.25">
      <c r="A1436" s="2" t="s">
        <v>15</v>
      </c>
      <c r="B1436" s="2" t="str">
        <f>"FES1162769317"</f>
        <v>FES1162769317</v>
      </c>
      <c r="C1436" s="2" t="s">
        <v>1008</v>
      </c>
      <c r="D1436" s="2">
        <v>1</v>
      </c>
      <c r="E1436" s="2" t="str">
        <f>"2170754774"</f>
        <v>2170754774</v>
      </c>
      <c r="F1436" s="2" t="s">
        <v>17</v>
      </c>
      <c r="G1436" s="2" t="s">
        <v>18</v>
      </c>
      <c r="H1436" s="2" t="s">
        <v>25</v>
      </c>
      <c r="I1436" s="2" t="s">
        <v>26</v>
      </c>
      <c r="J1436" s="2" t="s">
        <v>1146</v>
      </c>
      <c r="K1436" s="2" t="s">
        <v>1084</v>
      </c>
      <c r="L1436" s="3">
        <v>0.38750000000000001</v>
      </c>
      <c r="M1436" s="2" t="s">
        <v>1209</v>
      </c>
      <c r="N1436" s="2" t="s">
        <v>500</v>
      </c>
      <c r="O1436" s="2"/>
    </row>
    <row r="1437" spans="1:15" x14ac:dyDescent="0.25">
      <c r="A1437" s="2" t="s">
        <v>15</v>
      </c>
      <c r="B1437" s="2" t="str">
        <f>"FES1162769331"</f>
        <v>FES1162769331</v>
      </c>
      <c r="C1437" s="2" t="s">
        <v>1008</v>
      </c>
      <c r="D1437" s="2">
        <v>1</v>
      </c>
      <c r="E1437" s="2" t="str">
        <f>"2170756077"</f>
        <v>2170756077</v>
      </c>
      <c r="F1437" s="2" t="s">
        <v>17</v>
      </c>
      <c r="G1437" s="2" t="s">
        <v>18</v>
      </c>
      <c r="H1437" s="2" t="s">
        <v>18</v>
      </c>
      <c r="I1437" s="2" t="s">
        <v>290</v>
      </c>
      <c r="J1437" s="2" t="s">
        <v>458</v>
      </c>
      <c r="K1437" s="2" t="s">
        <v>1084</v>
      </c>
      <c r="L1437" s="3">
        <v>0.375</v>
      </c>
      <c r="M1437" s="2" t="s">
        <v>1123</v>
      </c>
      <c r="N1437" s="2" t="s">
        <v>500</v>
      </c>
      <c r="O1437" s="2"/>
    </row>
    <row r="1438" spans="1:15" x14ac:dyDescent="0.25">
      <c r="A1438" s="2" t="s">
        <v>15</v>
      </c>
      <c r="B1438" s="2" t="str">
        <f>"FES1162769131"</f>
        <v>FES1162769131</v>
      </c>
      <c r="C1438" s="2" t="s">
        <v>1008</v>
      </c>
      <c r="D1438" s="2">
        <v>1</v>
      </c>
      <c r="E1438" s="2" t="str">
        <f>"2170754997"</f>
        <v>2170754997</v>
      </c>
      <c r="F1438" s="2" t="s">
        <v>17</v>
      </c>
      <c r="G1438" s="2" t="s">
        <v>18</v>
      </c>
      <c r="H1438" s="2" t="s">
        <v>78</v>
      </c>
      <c r="I1438" s="2" t="s">
        <v>79</v>
      </c>
      <c r="J1438" s="2" t="s">
        <v>1147</v>
      </c>
      <c r="K1438" s="2" t="s">
        <v>1084</v>
      </c>
      <c r="L1438" s="3">
        <v>0.39930555555555558</v>
      </c>
      <c r="M1438" s="2" t="s">
        <v>1210</v>
      </c>
      <c r="N1438" s="2" t="s">
        <v>500</v>
      </c>
      <c r="O1438" s="2"/>
    </row>
    <row r="1439" spans="1:15" x14ac:dyDescent="0.25">
      <c r="A1439" s="2" t="s">
        <v>15</v>
      </c>
      <c r="B1439" s="2" t="str">
        <f>"FES1162769101"</f>
        <v>FES1162769101</v>
      </c>
      <c r="C1439" s="2" t="s">
        <v>1008</v>
      </c>
      <c r="D1439" s="2">
        <v>1</v>
      </c>
      <c r="E1439" s="2" t="str">
        <f>"2170754461"</f>
        <v>2170754461</v>
      </c>
      <c r="F1439" s="2" t="s">
        <v>17</v>
      </c>
      <c r="G1439" s="2" t="s">
        <v>18</v>
      </c>
      <c r="H1439" s="2" t="s">
        <v>19</v>
      </c>
      <c r="I1439" s="2" t="s">
        <v>20</v>
      </c>
      <c r="J1439" s="2" t="s">
        <v>281</v>
      </c>
      <c r="K1439" s="2" t="s">
        <v>1084</v>
      </c>
      <c r="L1439" s="3">
        <v>0.4909722222222222</v>
      </c>
      <c r="M1439" s="2" t="s">
        <v>1196</v>
      </c>
      <c r="N1439" s="2" t="s">
        <v>500</v>
      </c>
      <c r="O1439" s="2"/>
    </row>
    <row r="1440" spans="1:15" x14ac:dyDescent="0.25">
      <c r="A1440" s="2" t="s">
        <v>15</v>
      </c>
      <c r="B1440" s="2" t="str">
        <f>"FES1162769338"</f>
        <v>FES1162769338</v>
      </c>
      <c r="C1440" s="2" t="s">
        <v>1008</v>
      </c>
      <c r="D1440" s="2">
        <v>1</v>
      </c>
      <c r="E1440" s="2" t="str">
        <f>"2170754526"</f>
        <v>2170754526</v>
      </c>
      <c r="F1440" s="2" t="s">
        <v>17</v>
      </c>
      <c r="G1440" s="2" t="s">
        <v>18</v>
      </c>
      <c r="H1440" s="2" t="s">
        <v>18</v>
      </c>
      <c r="I1440" s="2" t="s">
        <v>57</v>
      </c>
      <c r="J1440" s="2" t="s">
        <v>903</v>
      </c>
      <c r="K1440" s="2" t="s">
        <v>1084</v>
      </c>
      <c r="L1440" s="3">
        <v>0.35694444444444445</v>
      </c>
      <c r="M1440" s="2" t="s">
        <v>1211</v>
      </c>
      <c r="N1440" s="2" t="s">
        <v>500</v>
      </c>
      <c r="O1440" s="2"/>
    </row>
    <row r="1441" spans="1:15" x14ac:dyDescent="0.25">
      <c r="A1441" s="2" t="s">
        <v>15</v>
      </c>
      <c r="B1441" s="2" t="str">
        <f>"FES1162768986"</f>
        <v>FES1162768986</v>
      </c>
      <c r="C1441" s="2" t="s">
        <v>1008</v>
      </c>
      <c r="D1441" s="2">
        <v>1</v>
      </c>
      <c r="E1441" s="2" t="str">
        <f>"2170754991"</f>
        <v>2170754991</v>
      </c>
      <c r="F1441" s="2" t="s">
        <v>17</v>
      </c>
      <c r="G1441" s="2" t="s">
        <v>18</v>
      </c>
      <c r="H1441" s="2" t="s">
        <v>25</v>
      </c>
      <c r="I1441" s="2" t="s">
        <v>26</v>
      </c>
      <c r="J1441" s="2" t="s">
        <v>913</v>
      </c>
      <c r="K1441" s="2" t="s">
        <v>1084</v>
      </c>
      <c r="L1441" s="3">
        <v>0.37638888888888888</v>
      </c>
      <c r="M1441" s="2" t="s">
        <v>965</v>
      </c>
      <c r="N1441" s="2" t="s">
        <v>500</v>
      </c>
      <c r="O1441" s="2"/>
    </row>
    <row r="1442" spans="1:15" x14ac:dyDescent="0.25">
      <c r="A1442" s="2" t="s">
        <v>15</v>
      </c>
      <c r="B1442" s="2" t="str">
        <f>"FES1162769305"</f>
        <v>FES1162769305</v>
      </c>
      <c r="C1442" s="2" t="s">
        <v>1008</v>
      </c>
      <c r="D1442" s="2">
        <v>1</v>
      </c>
      <c r="E1442" s="2" t="str">
        <f>"2170754704"</f>
        <v>2170754704</v>
      </c>
      <c r="F1442" s="2" t="s">
        <v>17</v>
      </c>
      <c r="G1442" s="2" t="s">
        <v>18</v>
      </c>
      <c r="H1442" s="2" t="s">
        <v>25</v>
      </c>
      <c r="I1442" s="2" t="s">
        <v>26</v>
      </c>
      <c r="J1442" s="2" t="s">
        <v>1148</v>
      </c>
      <c r="K1442" s="2" t="s">
        <v>1084</v>
      </c>
      <c r="L1442" s="3">
        <v>0.43333333333333335</v>
      </c>
      <c r="M1442" s="2" t="s">
        <v>1212</v>
      </c>
      <c r="N1442" s="2" t="s">
        <v>500</v>
      </c>
      <c r="O1442" s="2"/>
    </row>
    <row r="1443" spans="1:15" x14ac:dyDescent="0.25">
      <c r="A1443" s="2" t="s">
        <v>15</v>
      </c>
      <c r="B1443" s="2" t="str">
        <f>"FES1162769205"</f>
        <v>FES1162769205</v>
      </c>
      <c r="C1443" s="2" t="s">
        <v>1008</v>
      </c>
      <c r="D1443" s="2">
        <v>2</v>
      </c>
      <c r="E1443" s="2" t="str">
        <f>"2170756490"</f>
        <v>2170756490</v>
      </c>
      <c r="F1443" s="2" t="s">
        <v>17</v>
      </c>
      <c r="G1443" s="2" t="s">
        <v>18</v>
      </c>
      <c r="H1443" s="2" t="s">
        <v>88</v>
      </c>
      <c r="I1443" s="2" t="s">
        <v>109</v>
      </c>
      <c r="J1443" s="2" t="s">
        <v>1027</v>
      </c>
      <c r="K1443" s="2" t="s">
        <v>1190</v>
      </c>
      <c r="L1443" s="3">
        <v>0.4375</v>
      </c>
      <c r="M1443" s="2" t="s">
        <v>310</v>
      </c>
      <c r="N1443" s="2" t="s">
        <v>500</v>
      </c>
      <c r="O1443" s="2"/>
    </row>
    <row r="1444" spans="1:15" x14ac:dyDescent="0.25">
      <c r="A1444" s="2" t="s">
        <v>15</v>
      </c>
      <c r="B1444" s="2" t="str">
        <f>"FES1162769256"</f>
        <v>FES1162769256</v>
      </c>
      <c r="C1444" s="2" t="s">
        <v>1008</v>
      </c>
      <c r="D1444" s="2">
        <v>1</v>
      </c>
      <c r="E1444" s="2" t="str">
        <f>"2170753660"</f>
        <v>2170753660</v>
      </c>
      <c r="F1444" s="2" t="s">
        <v>17</v>
      </c>
      <c r="G1444" s="2" t="s">
        <v>18</v>
      </c>
      <c r="H1444" s="2" t="s">
        <v>88</v>
      </c>
      <c r="I1444" s="2" t="s">
        <v>109</v>
      </c>
      <c r="J1444" s="2" t="s">
        <v>890</v>
      </c>
      <c r="K1444" s="2" t="s">
        <v>1084</v>
      </c>
      <c r="L1444" s="3">
        <v>0.3611111111111111</v>
      </c>
      <c r="M1444" s="2" t="s">
        <v>744</v>
      </c>
      <c r="N1444" s="2" t="s">
        <v>500</v>
      </c>
      <c r="O1444" s="2"/>
    </row>
    <row r="1445" spans="1:15" x14ac:dyDescent="0.25">
      <c r="A1445" s="2" t="s">
        <v>15</v>
      </c>
      <c r="B1445" s="2" t="str">
        <f>"FES1162769290"</f>
        <v>FES1162769290</v>
      </c>
      <c r="C1445" s="2" t="s">
        <v>1008</v>
      </c>
      <c r="D1445" s="2">
        <v>1</v>
      </c>
      <c r="E1445" s="2" t="str">
        <f>"2170754623"</f>
        <v>2170754623</v>
      </c>
      <c r="F1445" s="2" t="s">
        <v>17</v>
      </c>
      <c r="G1445" s="2" t="s">
        <v>18</v>
      </c>
      <c r="H1445" s="2" t="s">
        <v>30</v>
      </c>
      <c r="I1445" s="2" t="s">
        <v>444</v>
      </c>
      <c r="J1445" s="2" t="s">
        <v>488</v>
      </c>
      <c r="K1445" s="2" t="s">
        <v>1084</v>
      </c>
      <c r="L1445" s="3">
        <v>0.46319444444444446</v>
      </c>
      <c r="M1445" s="2" t="s">
        <v>552</v>
      </c>
      <c r="N1445" s="2" t="s">
        <v>500</v>
      </c>
      <c r="O1445" s="2"/>
    </row>
    <row r="1446" spans="1:15" x14ac:dyDescent="0.25">
      <c r="A1446" s="2" t="s">
        <v>15</v>
      </c>
      <c r="B1446" s="2" t="str">
        <f>"FES1162769327"</f>
        <v>FES1162769327</v>
      </c>
      <c r="C1446" s="2" t="s">
        <v>1008</v>
      </c>
      <c r="D1446" s="2">
        <v>1</v>
      </c>
      <c r="E1446" s="2" t="str">
        <f>"2170755623"</f>
        <v>2170755623</v>
      </c>
      <c r="F1446" s="2" t="s">
        <v>17</v>
      </c>
      <c r="G1446" s="2" t="s">
        <v>18</v>
      </c>
      <c r="H1446" s="2" t="s">
        <v>88</v>
      </c>
      <c r="I1446" s="2" t="s">
        <v>109</v>
      </c>
      <c r="J1446" s="2" t="s">
        <v>1039</v>
      </c>
      <c r="K1446" s="2" t="s">
        <v>1084</v>
      </c>
      <c r="L1446" s="3">
        <v>0.40277777777777773</v>
      </c>
      <c r="M1446" s="2" t="s">
        <v>710</v>
      </c>
      <c r="N1446" s="2" t="s">
        <v>500</v>
      </c>
      <c r="O1446" s="2"/>
    </row>
    <row r="1447" spans="1:15" x14ac:dyDescent="0.25">
      <c r="A1447" s="2" t="s">
        <v>15</v>
      </c>
      <c r="B1447" s="2" t="str">
        <f>"FES1162769241"</f>
        <v>FES1162769241</v>
      </c>
      <c r="C1447" s="2" t="s">
        <v>1008</v>
      </c>
      <c r="D1447" s="2">
        <v>1</v>
      </c>
      <c r="E1447" s="2" t="str">
        <f>"2170751034"</f>
        <v>2170751034</v>
      </c>
      <c r="F1447" s="2" t="s">
        <v>17</v>
      </c>
      <c r="G1447" s="2" t="s">
        <v>18</v>
      </c>
      <c r="H1447" s="2" t="s">
        <v>88</v>
      </c>
      <c r="I1447" s="2" t="s">
        <v>109</v>
      </c>
      <c r="J1447" s="2" t="s">
        <v>110</v>
      </c>
      <c r="K1447" s="2" t="s">
        <v>1084</v>
      </c>
      <c r="L1447" s="3">
        <v>0.38680555555555557</v>
      </c>
      <c r="M1447" s="2" t="s">
        <v>224</v>
      </c>
      <c r="N1447" s="2" t="s">
        <v>500</v>
      </c>
      <c r="O1447" s="2"/>
    </row>
    <row r="1448" spans="1:15" x14ac:dyDescent="0.25">
      <c r="A1448" s="2" t="s">
        <v>15</v>
      </c>
      <c r="B1448" s="2" t="str">
        <f>"FES1162769279"</f>
        <v>FES1162769279</v>
      </c>
      <c r="C1448" s="2" t="s">
        <v>1008</v>
      </c>
      <c r="D1448" s="2">
        <v>1</v>
      </c>
      <c r="E1448" s="2" t="str">
        <f>"2170754543"</f>
        <v>2170754543</v>
      </c>
      <c r="F1448" s="2" t="s">
        <v>17</v>
      </c>
      <c r="G1448" s="2" t="s">
        <v>18</v>
      </c>
      <c r="H1448" s="2" t="s">
        <v>18</v>
      </c>
      <c r="I1448" s="2" t="s">
        <v>46</v>
      </c>
      <c r="J1448" s="2" t="s">
        <v>59</v>
      </c>
      <c r="K1448" s="2" t="s">
        <v>1084</v>
      </c>
      <c r="L1448" s="3">
        <v>0.30416666666666664</v>
      </c>
      <c r="M1448" s="2" t="s">
        <v>60</v>
      </c>
      <c r="N1448" s="2" t="s">
        <v>500</v>
      </c>
      <c r="O1448" s="2"/>
    </row>
    <row r="1449" spans="1:15" x14ac:dyDescent="0.25">
      <c r="A1449" s="2" t="s">
        <v>15</v>
      </c>
      <c r="B1449" s="2" t="str">
        <f>"FES1162769149"</f>
        <v>FES1162769149</v>
      </c>
      <c r="C1449" s="2" t="s">
        <v>1008</v>
      </c>
      <c r="D1449" s="2">
        <v>1</v>
      </c>
      <c r="E1449" s="2" t="str">
        <f>"2170755146"</f>
        <v>2170755146</v>
      </c>
      <c r="F1449" s="2" t="s">
        <v>17</v>
      </c>
      <c r="G1449" s="2" t="s">
        <v>18</v>
      </c>
      <c r="H1449" s="2" t="s">
        <v>78</v>
      </c>
      <c r="I1449" s="2" t="s">
        <v>79</v>
      </c>
      <c r="J1449" s="2" t="s">
        <v>1029</v>
      </c>
      <c r="K1449" s="2" t="s">
        <v>1084</v>
      </c>
      <c r="L1449" s="3">
        <v>0.39930555555555558</v>
      </c>
      <c r="M1449" s="2" t="s">
        <v>1213</v>
      </c>
      <c r="N1449" s="2" t="s">
        <v>500</v>
      </c>
      <c r="O1449" s="2"/>
    </row>
    <row r="1450" spans="1:15" x14ac:dyDescent="0.25">
      <c r="A1450" s="2" t="s">
        <v>15</v>
      </c>
      <c r="B1450" s="2" t="str">
        <f>"FES1162769318"</f>
        <v>FES1162769318</v>
      </c>
      <c r="C1450" s="2" t="s">
        <v>1008</v>
      </c>
      <c r="D1450" s="2">
        <v>1</v>
      </c>
      <c r="E1450" s="2" t="str">
        <f>"2170754775"</f>
        <v>2170754775</v>
      </c>
      <c r="F1450" s="2" t="s">
        <v>17</v>
      </c>
      <c r="G1450" s="2" t="s">
        <v>18</v>
      </c>
      <c r="H1450" s="2" t="s">
        <v>18</v>
      </c>
      <c r="I1450" s="2" t="s">
        <v>157</v>
      </c>
      <c r="J1450" s="2" t="s">
        <v>158</v>
      </c>
      <c r="K1450" s="2" t="s">
        <v>1084</v>
      </c>
      <c r="L1450" s="3">
        <v>0.43194444444444446</v>
      </c>
      <c r="M1450" s="2" t="s">
        <v>253</v>
      </c>
      <c r="N1450" s="2" t="s">
        <v>500</v>
      </c>
      <c r="O1450" s="2"/>
    </row>
    <row r="1451" spans="1:15" x14ac:dyDescent="0.25">
      <c r="A1451" s="2" t="s">
        <v>15</v>
      </c>
      <c r="B1451" s="2" t="str">
        <f>"FES1162769191"</f>
        <v>FES1162769191</v>
      </c>
      <c r="C1451" s="2" t="s">
        <v>1008</v>
      </c>
      <c r="D1451" s="2">
        <v>1</v>
      </c>
      <c r="E1451" s="2" t="str">
        <f>"2170756273"</f>
        <v>2170756273</v>
      </c>
      <c r="F1451" s="2" t="s">
        <v>17</v>
      </c>
      <c r="G1451" s="2" t="s">
        <v>18</v>
      </c>
      <c r="H1451" s="2" t="s">
        <v>19</v>
      </c>
      <c r="I1451" s="2" t="s">
        <v>20</v>
      </c>
      <c r="J1451" s="2" t="s">
        <v>21</v>
      </c>
      <c r="K1451" s="2" t="s">
        <v>1084</v>
      </c>
      <c r="L1451" s="3">
        <v>0.37638888888888888</v>
      </c>
      <c r="M1451" s="2" t="s">
        <v>263</v>
      </c>
      <c r="N1451" s="2" t="s">
        <v>500</v>
      </c>
      <c r="O1451" s="2"/>
    </row>
    <row r="1452" spans="1:15" x14ac:dyDescent="0.25">
      <c r="A1452" s="2" t="s">
        <v>15</v>
      </c>
      <c r="B1452" s="2" t="str">
        <f>"FES1162769276"</f>
        <v>FES1162769276</v>
      </c>
      <c r="C1452" s="2" t="s">
        <v>1008</v>
      </c>
      <c r="D1452" s="2">
        <v>1</v>
      </c>
      <c r="E1452" s="2" t="str">
        <f>"2170754503"</f>
        <v>2170754503</v>
      </c>
      <c r="F1452" s="2" t="s">
        <v>17</v>
      </c>
      <c r="G1452" s="2" t="s">
        <v>18</v>
      </c>
      <c r="H1452" s="2" t="s">
        <v>18</v>
      </c>
      <c r="I1452" s="2" t="s">
        <v>82</v>
      </c>
      <c r="J1452" s="2" t="s">
        <v>83</v>
      </c>
      <c r="K1452" s="2" t="s">
        <v>1084</v>
      </c>
      <c r="L1452" s="3">
        <v>0.34027777777777773</v>
      </c>
      <c r="M1452" s="2" t="s">
        <v>1214</v>
      </c>
      <c r="N1452" s="2" t="s">
        <v>500</v>
      </c>
      <c r="O1452" s="2"/>
    </row>
    <row r="1453" spans="1:15" x14ac:dyDescent="0.25">
      <c r="A1453" s="2" t="s">
        <v>15</v>
      </c>
      <c r="B1453" s="2" t="str">
        <f>"FES1162769334"</f>
        <v>FES1162769334</v>
      </c>
      <c r="C1453" s="2" t="s">
        <v>1008</v>
      </c>
      <c r="D1453" s="2">
        <v>1</v>
      </c>
      <c r="E1453" s="2" t="str">
        <f>"2170756214"</f>
        <v>2170756214</v>
      </c>
      <c r="F1453" s="2" t="s">
        <v>17</v>
      </c>
      <c r="G1453" s="2" t="s">
        <v>18</v>
      </c>
      <c r="H1453" s="2" t="s">
        <v>36</v>
      </c>
      <c r="I1453" s="2" t="s">
        <v>67</v>
      </c>
      <c r="J1453" s="2" t="s">
        <v>780</v>
      </c>
      <c r="K1453" s="2" t="s">
        <v>1084</v>
      </c>
      <c r="L1453" s="3">
        <v>0.42708333333333331</v>
      </c>
      <c r="M1453" s="2" t="s">
        <v>1111</v>
      </c>
      <c r="N1453" s="2" t="s">
        <v>500</v>
      </c>
      <c r="O1453" s="2"/>
    </row>
    <row r="1454" spans="1:15" x14ac:dyDescent="0.25">
      <c r="A1454" s="2" t="s">
        <v>15</v>
      </c>
      <c r="B1454" s="2" t="str">
        <f>"FES1162769311"</f>
        <v>FES1162769311</v>
      </c>
      <c r="C1454" s="2" t="s">
        <v>1008</v>
      </c>
      <c r="D1454" s="2">
        <v>1</v>
      </c>
      <c r="E1454" s="2" t="str">
        <f>"2170754725"</f>
        <v>2170754725</v>
      </c>
      <c r="F1454" s="2" t="s">
        <v>17</v>
      </c>
      <c r="G1454" s="2" t="s">
        <v>18</v>
      </c>
      <c r="H1454" s="2" t="s">
        <v>33</v>
      </c>
      <c r="I1454" s="2" t="s">
        <v>34</v>
      </c>
      <c r="J1454" s="2" t="s">
        <v>71</v>
      </c>
      <c r="K1454" s="2" t="s">
        <v>1084</v>
      </c>
      <c r="L1454" s="3">
        <v>0.43333333333333335</v>
      </c>
      <c r="M1454" s="2" t="s">
        <v>1215</v>
      </c>
      <c r="N1454" s="2" t="s">
        <v>500</v>
      </c>
      <c r="O1454" s="2"/>
    </row>
    <row r="1455" spans="1:15" x14ac:dyDescent="0.25">
      <c r="A1455" s="2" t="s">
        <v>15</v>
      </c>
      <c r="B1455" s="2" t="str">
        <f>"FES1162769282"</f>
        <v>FES1162769282</v>
      </c>
      <c r="C1455" s="2" t="s">
        <v>1008</v>
      </c>
      <c r="D1455" s="2">
        <v>1</v>
      </c>
      <c r="E1455" s="2" t="str">
        <f>"2170754568"</f>
        <v>2170754568</v>
      </c>
      <c r="F1455" s="2" t="s">
        <v>17</v>
      </c>
      <c r="G1455" s="2" t="s">
        <v>18</v>
      </c>
      <c r="H1455" s="2" t="s">
        <v>18</v>
      </c>
      <c r="I1455" s="2" t="s">
        <v>52</v>
      </c>
      <c r="J1455" s="2" t="s">
        <v>466</v>
      </c>
      <c r="K1455" s="2" t="s">
        <v>1084</v>
      </c>
      <c r="L1455" s="3">
        <v>0.41041666666666665</v>
      </c>
      <c r="M1455" s="2" t="s">
        <v>991</v>
      </c>
      <c r="N1455" s="2" t="s">
        <v>500</v>
      </c>
      <c r="O1455" s="2"/>
    </row>
    <row r="1456" spans="1:15" x14ac:dyDescent="0.25">
      <c r="A1456" s="2" t="s">
        <v>15</v>
      </c>
      <c r="B1456" s="2" t="str">
        <f>"FES1162769287"</f>
        <v>FES1162769287</v>
      </c>
      <c r="C1456" s="2" t="s">
        <v>1008</v>
      </c>
      <c r="D1456" s="2">
        <v>1</v>
      </c>
      <c r="E1456" s="2" t="str">
        <f>"2170754609"</f>
        <v>2170754609</v>
      </c>
      <c r="F1456" s="2" t="s">
        <v>17</v>
      </c>
      <c r="G1456" s="2" t="s">
        <v>18</v>
      </c>
      <c r="H1456" s="2" t="s">
        <v>88</v>
      </c>
      <c r="I1456" s="2" t="s">
        <v>109</v>
      </c>
      <c r="J1456" s="2" t="s">
        <v>141</v>
      </c>
      <c r="K1456" s="2" t="s">
        <v>1084</v>
      </c>
      <c r="L1456" s="3">
        <v>0.36805555555555558</v>
      </c>
      <c r="M1456" s="2" t="s">
        <v>971</v>
      </c>
      <c r="N1456" s="2" t="s">
        <v>500</v>
      </c>
      <c r="O1456" s="2"/>
    </row>
    <row r="1457" spans="1:15" x14ac:dyDescent="0.25">
      <c r="A1457" s="2" t="s">
        <v>15</v>
      </c>
      <c r="B1457" s="2" t="str">
        <f>"FES1162768938"</f>
        <v>FES1162768938</v>
      </c>
      <c r="C1457" s="2" t="s">
        <v>1008</v>
      </c>
      <c r="D1457" s="2">
        <v>1</v>
      </c>
      <c r="E1457" s="2" t="str">
        <f>"2170755479"</f>
        <v>2170755479</v>
      </c>
      <c r="F1457" s="2" t="s">
        <v>17</v>
      </c>
      <c r="G1457" s="2" t="s">
        <v>18</v>
      </c>
      <c r="H1457" s="2" t="s">
        <v>18</v>
      </c>
      <c r="I1457" s="2" t="s">
        <v>57</v>
      </c>
      <c r="J1457" s="2" t="s">
        <v>103</v>
      </c>
      <c r="K1457" s="2" t="s">
        <v>1084</v>
      </c>
      <c r="L1457" s="3">
        <v>0.31875000000000003</v>
      </c>
      <c r="M1457" s="2" t="s">
        <v>220</v>
      </c>
      <c r="N1457" s="2" t="s">
        <v>500</v>
      </c>
      <c r="O1457" s="2"/>
    </row>
    <row r="1458" spans="1:15" x14ac:dyDescent="0.25">
      <c r="A1458" s="2" t="s">
        <v>15</v>
      </c>
      <c r="B1458" s="2" t="str">
        <f>"FES1162769319"</f>
        <v>FES1162769319</v>
      </c>
      <c r="C1458" s="2" t="s">
        <v>1008</v>
      </c>
      <c r="D1458" s="2">
        <v>1</v>
      </c>
      <c r="E1458" s="2" t="str">
        <f>"2170754783"</f>
        <v>2170754783</v>
      </c>
      <c r="F1458" s="2" t="s">
        <v>17</v>
      </c>
      <c r="G1458" s="2" t="s">
        <v>18</v>
      </c>
      <c r="H1458" s="2" t="s">
        <v>25</v>
      </c>
      <c r="I1458" s="2" t="s">
        <v>26</v>
      </c>
      <c r="J1458" s="2" t="s">
        <v>27</v>
      </c>
      <c r="K1458" s="2" t="s">
        <v>1084</v>
      </c>
      <c r="L1458" s="3">
        <v>0.43124999999999997</v>
      </c>
      <c r="M1458" s="2" t="s">
        <v>521</v>
      </c>
      <c r="N1458" s="2" t="s">
        <v>500</v>
      </c>
      <c r="O1458" s="2"/>
    </row>
    <row r="1459" spans="1:15" x14ac:dyDescent="0.25">
      <c r="A1459" s="2" t="s">
        <v>15</v>
      </c>
      <c r="B1459" s="2" t="str">
        <f>"FES1162768521"</f>
        <v>FES1162768521</v>
      </c>
      <c r="C1459" s="2" t="s">
        <v>1008</v>
      </c>
      <c r="D1459" s="2">
        <v>1</v>
      </c>
      <c r="E1459" s="2" t="str">
        <f>"2170756407"</f>
        <v>2170756407</v>
      </c>
      <c r="F1459" s="2" t="s">
        <v>17</v>
      </c>
      <c r="G1459" s="2" t="s">
        <v>18</v>
      </c>
      <c r="H1459" s="2" t="s">
        <v>25</v>
      </c>
      <c r="I1459" s="2" t="s">
        <v>42</v>
      </c>
      <c r="J1459" s="2" t="s">
        <v>416</v>
      </c>
      <c r="K1459" s="2" t="s">
        <v>1084</v>
      </c>
      <c r="L1459" s="3">
        <v>0.50208333333333333</v>
      </c>
      <c r="M1459" s="2" t="s">
        <v>688</v>
      </c>
      <c r="N1459" s="2" t="s">
        <v>500</v>
      </c>
      <c r="O1459" s="2"/>
    </row>
    <row r="1460" spans="1:15" x14ac:dyDescent="0.25">
      <c r="A1460" s="2" t="s">
        <v>15</v>
      </c>
      <c r="B1460" s="2" t="str">
        <f>"FES1162769352"</f>
        <v>FES1162769352</v>
      </c>
      <c r="C1460" s="2" t="s">
        <v>1008</v>
      </c>
      <c r="D1460" s="2">
        <v>1</v>
      </c>
      <c r="E1460" s="2" t="str">
        <f>"2170751847"</f>
        <v>2170751847</v>
      </c>
      <c r="F1460" s="2" t="s">
        <v>17</v>
      </c>
      <c r="G1460" s="2" t="s">
        <v>18</v>
      </c>
      <c r="H1460" s="2" t="s">
        <v>19</v>
      </c>
      <c r="I1460" s="2" t="s">
        <v>111</v>
      </c>
      <c r="J1460" s="2" t="s">
        <v>369</v>
      </c>
      <c r="K1460" s="2" t="s">
        <v>1084</v>
      </c>
      <c r="L1460" s="3">
        <v>0.52708333333333335</v>
      </c>
      <c r="M1460" s="2" t="s">
        <v>370</v>
      </c>
      <c r="N1460" s="2" t="s">
        <v>500</v>
      </c>
      <c r="O1460" s="2"/>
    </row>
    <row r="1461" spans="1:15" x14ac:dyDescent="0.25">
      <c r="A1461" s="2" t="s">
        <v>15</v>
      </c>
      <c r="B1461" s="2" t="str">
        <f>"FES1162769296"</f>
        <v>FES1162769296</v>
      </c>
      <c r="C1461" s="2" t="s">
        <v>1008</v>
      </c>
      <c r="D1461" s="2">
        <v>1</v>
      </c>
      <c r="E1461" s="2" t="str">
        <f>"2170754642"</f>
        <v>2170754642</v>
      </c>
      <c r="F1461" s="2" t="s">
        <v>17</v>
      </c>
      <c r="G1461" s="2" t="s">
        <v>18</v>
      </c>
      <c r="H1461" s="2" t="s">
        <v>18</v>
      </c>
      <c r="I1461" s="2" t="s">
        <v>65</v>
      </c>
      <c r="J1461" s="2" t="s">
        <v>1149</v>
      </c>
      <c r="K1461" s="2" t="s">
        <v>1084</v>
      </c>
      <c r="L1461" s="3">
        <v>0.3034722222222222</v>
      </c>
      <c r="M1461" s="2" t="s">
        <v>1216</v>
      </c>
      <c r="N1461" s="2" t="s">
        <v>500</v>
      </c>
      <c r="O1461" s="2"/>
    </row>
    <row r="1462" spans="1:15" x14ac:dyDescent="0.25">
      <c r="A1462" s="2" t="s">
        <v>15</v>
      </c>
      <c r="B1462" s="2" t="str">
        <f>"FES1162769353"</f>
        <v>FES1162769353</v>
      </c>
      <c r="C1462" s="2" t="s">
        <v>1008</v>
      </c>
      <c r="D1462" s="2">
        <v>1</v>
      </c>
      <c r="E1462" s="2" t="str">
        <f>"2170755213"</f>
        <v>2170755213</v>
      </c>
      <c r="F1462" s="2" t="s">
        <v>17</v>
      </c>
      <c r="G1462" s="2" t="s">
        <v>18</v>
      </c>
      <c r="H1462" s="2" t="s">
        <v>88</v>
      </c>
      <c r="I1462" s="2" t="s">
        <v>612</v>
      </c>
      <c r="J1462" s="2" t="s">
        <v>1126</v>
      </c>
      <c r="K1462" s="2" t="s">
        <v>1190</v>
      </c>
      <c r="L1462" s="3">
        <v>0.64583333333333337</v>
      </c>
      <c r="M1462" s="2" t="s">
        <v>1250</v>
      </c>
      <c r="N1462" s="2" t="s">
        <v>500</v>
      </c>
      <c r="O1462" s="2"/>
    </row>
    <row r="1463" spans="1:15" x14ac:dyDescent="0.25">
      <c r="A1463" s="2" t="s">
        <v>15</v>
      </c>
      <c r="B1463" s="2" t="str">
        <f>"FES1162769301"</f>
        <v>FES1162769301</v>
      </c>
      <c r="C1463" s="2" t="s">
        <v>1008</v>
      </c>
      <c r="D1463" s="2">
        <v>1</v>
      </c>
      <c r="E1463" s="2" t="str">
        <f>"2170754687"</f>
        <v>2170754687</v>
      </c>
      <c r="F1463" s="2" t="s">
        <v>17</v>
      </c>
      <c r="G1463" s="2" t="s">
        <v>18</v>
      </c>
      <c r="H1463" s="2" t="s">
        <v>18</v>
      </c>
      <c r="I1463" s="2" t="s">
        <v>63</v>
      </c>
      <c r="J1463" s="2" t="s">
        <v>93</v>
      </c>
      <c r="K1463" s="2" t="s">
        <v>1084</v>
      </c>
      <c r="L1463" s="3">
        <v>0.37083333333333335</v>
      </c>
      <c r="M1463" s="2" t="s">
        <v>471</v>
      </c>
      <c r="N1463" s="2" t="s">
        <v>500</v>
      </c>
      <c r="O1463" s="2"/>
    </row>
    <row r="1464" spans="1:15" x14ac:dyDescent="0.25">
      <c r="A1464" s="2" t="s">
        <v>15</v>
      </c>
      <c r="B1464" s="2" t="str">
        <f>"FES1162769254"</f>
        <v>FES1162769254</v>
      </c>
      <c r="C1464" s="2" t="s">
        <v>1008</v>
      </c>
      <c r="D1464" s="2">
        <v>1</v>
      </c>
      <c r="E1464" s="2" t="str">
        <f>"2170753568"</f>
        <v>2170753568</v>
      </c>
      <c r="F1464" s="2" t="s">
        <v>17</v>
      </c>
      <c r="G1464" s="2" t="s">
        <v>18</v>
      </c>
      <c r="H1464" s="2" t="s">
        <v>25</v>
      </c>
      <c r="I1464" s="2" t="s">
        <v>39</v>
      </c>
      <c r="J1464" s="2" t="s">
        <v>40</v>
      </c>
      <c r="K1464" s="2" t="s">
        <v>1084</v>
      </c>
      <c r="L1464" s="3">
        <v>0.54166666666666663</v>
      </c>
      <c r="M1464" s="2" t="s">
        <v>326</v>
      </c>
      <c r="N1464" s="2" t="s">
        <v>500</v>
      </c>
      <c r="O1464" s="2"/>
    </row>
    <row r="1465" spans="1:15" x14ac:dyDescent="0.25">
      <c r="A1465" s="2" t="s">
        <v>15</v>
      </c>
      <c r="B1465" s="2" t="str">
        <f>"FES1162769246"</f>
        <v>FES1162769246</v>
      </c>
      <c r="C1465" s="2" t="s">
        <v>1008</v>
      </c>
      <c r="D1465" s="2">
        <v>1</v>
      </c>
      <c r="E1465" s="2" t="str">
        <f>"2170752553"</f>
        <v>2170752553</v>
      </c>
      <c r="F1465" s="2" t="s">
        <v>17</v>
      </c>
      <c r="G1465" s="2" t="s">
        <v>18</v>
      </c>
      <c r="H1465" s="2" t="s">
        <v>25</v>
      </c>
      <c r="I1465" s="2" t="s">
        <v>42</v>
      </c>
      <c r="J1465" s="2" t="s">
        <v>416</v>
      </c>
      <c r="K1465" s="2" t="s">
        <v>1084</v>
      </c>
      <c r="L1465" s="3">
        <v>0.50208333333333333</v>
      </c>
      <c r="M1465" s="2" t="s">
        <v>688</v>
      </c>
      <c r="N1465" s="2" t="s">
        <v>500</v>
      </c>
      <c r="O1465" s="2"/>
    </row>
    <row r="1466" spans="1:15" x14ac:dyDescent="0.25">
      <c r="A1466" s="2" t="s">
        <v>15</v>
      </c>
      <c r="B1466" s="2" t="str">
        <f>"FES1162769347"</f>
        <v>FES1162769347</v>
      </c>
      <c r="C1466" s="2" t="s">
        <v>1008</v>
      </c>
      <c r="D1466" s="2">
        <v>1</v>
      </c>
      <c r="E1466" s="2" t="str">
        <f>"2170753500"</f>
        <v>2170753500</v>
      </c>
      <c r="F1466" s="2" t="s">
        <v>17</v>
      </c>
      <c r="G1466" s="2" t="s">
        <v>18</v>
      </c>
      <c r="H1466" s="2" t="s">
        <v>18</v>
      </c>
      <c r="I1466" s="2" t="s">
        <v>794</v>
      </c>
      <c r="J1466" s="2" t="s">
        <v>1015</v>
      </c>
      <c r="K1466" s="2" t="s">
        <v>1190</v>
      </c>
      <c r="L1466" s="3">
        <v>0.31944444444444448</v>
      </c>
      <c r="M1466" s="2" t="s">
        <v>1076</v>
      </c>
      <c r="N1466" s="2" t="s">
        <v>500</v>
      </c>
      <c r="O1466" s="2"/>
    </row>
    <row r="1467" spans="1:15" x14ac:dyDescent="0.25">
      <c r="A1467" s="2" t="s">
        <v>15</v>
      </c>
      <c r="B1467" s="2" t="str">
        <f>"FES1162769248"</f>
        <v>FES1162769248</v>
      </c>
      <c r="C1467" s="2" t="s">
        <v>1008</v>
      </c>
      <c r="D1467" s="2">
        <v>1</v>
      </c>
      <c r="E1467" s="2" t="str">
        <f>"2170753278"</f>
        <v>2170753278</v>
      </c>
      <c r="F1467" s="2" t="s">
        <v>17</v>
      </c>
      <c r="G1467" s="2" t="s">
        <v>18</v>
      </c>
      <c r="H1467" s="2" t="s">
        <v>36</v>
      </c>
      <c r="I1467" s="2" t="s">
        <v>37</v>
      </c>
      <c r="J1467" s="2" t="s">
        <v>162</v>
      </c>
      <c r="K1467" s="2" t="s">
        <v>1084</v>
      </c>
      <c r="L1467" s="3">
        <v>0.3520833333333333</v>
      </c>
      <c r="M1467" s="2" t="s">
        <v>268</v>
      </c>
      <c r="N1467" s="2" t="s">
        <v>500</v>
      </c>
      <c r="O1467" s="2"/>
    </row>
    <row r="1468" spans="1:15" x14ac:dyDescent="0.25">
      <c r="A1468" s="2" t="s">
        <v>15</v>
      </c>
      <c r="B1468" s="2" t="str">
        <f>"FES1162769325"</f>
        <v>FES1162769325</v>
      </c>
      <c r="C1468" s="2" t="s">
        <v>1008</v>
      </c>
      <c r="D1468" s="2">
        <v>1</v>
      </c>
      <c r="E1468" s="2" t="str">
        <f>"2170755363"</f>
        <v>2170755363</v>
      </c>
      <c r="F1468" s="2" t="s">
        <v>17</v>
      </c>
      <c r="G1468" s="2" t="s">
        <v>18</v>
      </c>
      <c r="H1468" s="2" t="s">
        <v>25</v>
      </c>
      <c r="I1468" s="2" t="s">
        <v>42</v>
      </c>
      <c r="J1468" s="2" t="s">
        <v>416</v>
      </c>
      <c r="K1468" s="2" t="s">
        <v>1084</v>
      </c>
      <c r="L1468" s="3">
        <v>0.50208333333333333</v>
      </c>
      <c r="M1468" s="2" t="s">
        <v>688</v>
      </c>
      <c r="N1468" s="2" t="s">
        <v>500</v>
      </c>
      <c r="O1468" s="2"/>
    </row>
    <row r="1469" spans="1:15" x14ac:dyDescent="0.25">
      <c r="A1469" s="2" t="s">
        <v>15</v>
      </c>
      <c r="B1469" s="2" t="str">
        <f>"FES1162769239"</f>
        <v>FES1162769239</v>
      </c>
      <c r="C1469" s="2" t="s">
        <v>1008</v>
      </c>
      <c r="D1469" s="2">
        <v>2</v>
      </c>
      <c r="E1469" s="2" t="str">
        <f>"2170747254"</f>
        <v>2170747254</v>
      </c>
      <c r="F1469" s="2" t="s">
        <v>17</v>
      </c>
      <c r="G1469" s="2" t="s">
        <v>18</v>
      </c>
      <c r="H1469" s="2" t="s">
        <v>18</v>
      </c>
      <c r="I1469" s="2" t="s">
        <v>163</v>
      </c>
      <c r="J1469" s="2" t="s">
        <v>1150</v>
      </c>
      <c r="K1469" s="2" t="s">
        <v>1084</v>
      </c>
      <c r="L1469" s="3">
        <v>0.375</v>
      </c>
      <c r="M1469" s="2" t="s">
        <v>1217</v>
      </c>
      <c r="N1469" s="2" t="s">
        <v>500</v>
      </c>
      <c r="O1469" s="2"/>
    </row>
    <row r="1470" spans="1:15" x14ac:dyDescent="0.25">
      <c r="A1470" s="2" t="s">
        <v>15</v>
      </c>
      <c r="B1470" s="2" t="str">
        <f>"FES1162769264"</f>
        <v>FES1162769264</v>
      </c>
      <c r="C1470" s="2" t="s">
        <v>1008</v>
      </c>
      <c r="D1470" s="2">
        <v>1</v>
      </c>
      <c r="E1470" s="2" t="str">
        <f>"2170754224"</f>
        <v>2170754224</v>
      </c>
      <c r="F1470" s="2" t="s">
        <v>17</v>
      </c>
      <c r="G1470" s="2" t="s">
        <v>18</v>
      </c>
      <c r="H1470" s="2" t="s">
        <v>36</v>
      </c>
      <c r="I1470" s="2" t="s">
        <v>37</v>
      </c>
      <c r="J1470" s="2" t="s">
        <v>303</v>
      </c>
      <c r="K1470" s="2" t="s">
        <v>1084</v>
      </c>
      <c r="L1470" s="3">
        <v>0.4236111111111111</v>
      </c>
      <c r="M1470" s="2" t="s">
        <v>307</v>
      </c>
      <c r="N1470" s="2" t="s">
        <v>500</v>
      </c>
      <c r="O1470" s="2"/>
    </row>
    <row r="1471" spans="1:15" x14ac:dyDescent="0.25">
      <c r="A1471" s="2" t="s">
        <v>15</v>
      </c>
      <c r="B1471" s="2" t="str">
        <f>"FES1162769242"</f>
        <v>FES1162769242</v>
      </c>
      <c r="C1471" s="2" t="s">
        <v>1008</v>
      </c>
      <c r="D1471" s="2">
        <v>1</v>
      </c>
      <c r="E1471" s="2" t="str">
        <f>"2170751449"</f>
        <v>2170751449</v>
      </c>
      <c r="F1471" s="2" t="s">
        <v>205</v>
      </c>
      <c r="G1471" s="2" t="s">
        <v>206</v>
      </c>
      <c r="H1471" s="2" t="s">
        <v>1116</v>
      </c>
      <c r="I1471" s="2" t="s">
        <v>109</v>
      </c>
      <c r="J1471" s="2" t="s">
        <v>155</v>
      </c>
      <c r="K1471" s="2" t="s">
        <v>1084</v>
      </c>
      <c r="L1471" s="3">
        <v>0.3659722222222222</v>
      </c>
      <c r="M1471" s="2" t="s">
        <v>251</v>
      </c>
      <c r="N1471" s="2" t="s">
        <v>500</v>
      </c>
      <c r="O1471" s="2"/>
    </row>
    <row r="1472" spans="1:15" x14ac:dyDescent="0.25">
      <c r="A1472" s="2" t="s">
        <v>15</v>
      </c>
      <c r="B1472" s="2" t="str">
        <f>"FES1162769295"</f>
        <v>FES1162769295</v>
      </c>
      <c r="C1472" s="2" t="s">
        <v>1008</v>
      </c>
      <c r="D1472" s="2">
        <v>1</v>
      </c>
      <c r="E1472" s="2" t="str">
        <f>"2170754641"</f>
        <v>2170754641</v>
      </c>
      <c r="F1472" s="2" t="s">
        <v>17</v>
      </c>
      <c r="G1472" s="2" t="s">
        <v>18</v>
      </c>
      <c r="H1472" s="2" t="s">
        <v>18</v>
      </c>
      <c r="I1472" s="2" t="s">
        <v>65</v>
      </c>
      <c r="J1472" s="2" t="s">
        <v>1149</v>
      </c>
      <c r="K1472" s="2" t="s">
        <v>1084</v>
      </c>
      <c r="L1472" s="3">
        <v>0.30555555555555552</v>
      </c>
      <c r="M1472" s="2" t="s">
        <v>1216</v>
      </c>
      <c r="N1472" s="2" t="s">
        <v>500</v>
      </c>
      <c r="O1472" s="2"/>
    </row>
    <row r="1473" spans="1:15" x14ac:dyDescent="0.25">
      <c r="A1473" s="2" t="s">
        <v>15</v>
      </c>
      <c r="B1473" s="2" t="str">
        <f>"FES1162769266"</f>
        <v>FES1162769266</v>
      </c>
      <c r="C1473" s="2" t="s">
        <v>1008</v>
      </c>
      <c r="D1473" s="2">
        <v>1</v>
      </c>
      <c r="E1473" s="2" t="str">
        <f>"2170754355"</f>
        <v>2170754355</v>
      </c>
      <c r="F1473" s="2" t="s">
        <v>17</v>
      </c>
      <c r="G1473" s="2" t="s">
        <v>18</v>
      </c>
      <c r="H1473" s="2" t="s">
        <v>18</v>
      </c>
      <c r="I1473" s="2" t="s">
        <v>63</v>
      </c>
      <c r="J1473" s="2" t="s">
        <v>93</v>
      </c>
      <c r="K1473" s="2" t="s">
        <v>1084</v>
      </c>
      <c r="L1473" s="3">
        <v>0.37013888888888885</v>
      </c>
      <c r="M1473" s="2" t="s">
        <v>332</v>
      </c>
      <c r="N1473" s="2" t="s">
        <v>500</v>
      </c>
      <c r="O1473" s="2"/>
    </row>
    <row r="1474" spans="1:15" x14ac:dyDescent="0.25">
      <c r="A1474" s="2" t="s">
        <v>15</v>
      </c>
      <c r="B1474" s="2" t="str">
        <f>"FES1162769286"</f>
        <v>FES1162769286</v>
      </c>
      <c r="C1474" s="2" t="s">
        <v>1008</v>
      </c>
      <c r="D1474" s="2">
        <v>1</v>
      </c>
      <c r="E1474" s="2" t="str">
        <f>"2170754594"</f>
        <v>2170754594</v>
      </c>
      <c r="F1474" s="2" t="s">
        <v>17</v>
      </c>
      <c r="G1474" s="2" t="s">
        <v>18</v>
      </c>
      <c r="H1474" s="2" t="s">
        <v>18</v>
      </c>
      <c r="I1474" s="2" t="s">
        <v>63</v>
      </c>
      <c r="J1474" s="2" t="s">
        <v>93</v>
      </c>
      <c r="K1474" s="2" t="s">
        <v>1084</v>
      </c>
      <c r="L1474" s="3">
        <v>0.37083333333333335</v>
      </c>
      <c r="M1474" s="2" t="s">
        <v>471</v>
      </c>
      <c r="N1474" s="2" t="s">
        <v>500</v>
      </c>
      <c r="O1474" s="2"/>
    </row>
    <row r="1475" spans="1:15" x14ac:dyDescent="0.25">
      <c r="A1475" s="2" t="s">
        <v>15</v>
      </c>
      <c r="B1475" s="2" t="str">
        <f>"FES1162769265"</f>
        <v>FES1162769265</v>
      </c>
      <c r="C1475" s="2" t="s">
        <v>1008</v>
      </c>
      <c r="D1475" s="2">
        <v>1</v>
      </c>
      <c r="E1475" s="2" t="str">
        <f>"2170754258"</f>
        <v>2170754258</v>
      </c>
      <c r="F1475" s="2" t="s">
        <v>17</v>
      </c>
      <c r="G1475" s="2" t="s">
        <v>18</v>
      </c>
      <c r="H1475" s="2" t="s">
        <v>88</v>
      </c>
      <c r="I1475" s="2" t="s">
        <v>109</v>
      </c>
      <c r="J1475" s="2" t="s">
        <v>635</v>
      </c>
      <c r="K1475" s="2" t="s">
        <v>1084</v>
      </c>
      <c r="L1475" s="3">
        <v>0.47013888888888888</v>
      </c>
      <c r="M1475" s="2" t="s">
        <v>704</v>
      </c>
      <c r="N1475" s="2" t="s">
        <v>500</v>
      </c>
      <c r="O1475" s="2"/>
    </row>
    <row r="1476" spans="1:15" x14ac:dyDescent="0.25">
      <c r="A1476" s="2" t="s">
        <v>15</v>
      </c>
      <c r="B1476" s="2" t="str">
        <f>"FES1162769253"</f>
        <v>FES1162769253</v>
      </c>
      <c r="C1476" s="2" t="s">
        <v>1008</v>
      </c>
      <c r="D1476" s="2">
        <v>1</v>
      </c>
      <c r="E1476" s="2" t="str">
        <f>"2170753388"</f>
        <v>2170753388</v>
      </c>
      <c r="F1476" s="2" t="s">
        <v>17</v>
      </c>
      <c r="G1476" s="2" t="s">
        <v>18</v>
      </c>
      <c r="H1476" s="2" t="s">
        <v>88</v>
      </c>
      <c r="I1476" s="2" t="s">
        <v>109</v>
      </c>
      <c r="J1476" s="2" t="s">
        <v>635</v>
      </c>
      <c r="K1476" s="2" t="s">
        <v>1084</v>
      </c>
      <c r="L1476" s="3">
        <v>0.4284722222222222</v>
      </c>
      <c r="M1476" s="2" t="s">
        <v>704</v>
      </c>
      <c r="N1476" s="2" t="s">
        <v>500</v>
      </c>
      <c r="O1476" s="2"/>
    </row>
    <row r="1477" spans="1:15" x14ac:dyDescent="0.25">
      <c r="A1477" s="2" t="s">
        <v>15</v>
      </c>
      <c r="B1477" s="2" t="str">
        <f>"FES1162769230"</f>
        <v>FES1162769230</v>
      </c>
      <c r="C1477" s="2" t="s">
        <v>1008</v>
      </c>
      <c r="D1477" s="2">
        <v>2</v>
      </c>
      <c r="E1477" s="2" t="str">
        <f>"2170754465"</f>
        <v>2170754465</v>
      </c>
      <c r="F1477" s="2" t="s">
        <v>205</v>
      </c>
      <c r="G1477" s="2" t="s">
        <v>206</v>
      </c>
      <c r="H1477" s="2" t="s">
        <v>19</v>
      </c>
      <c r="I1477" s="2" t="s">
        <v>20</v>
      </c>
      <c r="J1477" s="2" t="s">
        <v>76</v>
      </c>
      <c r="K1477" s="2" t="s">
        <v>1084</v>
      </c>
      <c r="L1477" s="3">
        <v>0.7055555555555556</v>
      </c>
      <c r="M1477" s="2" t="s">
        <v>1184</v>
      </c>
      <c r="N1477" s="2" t="s">
        <v>500</v>
      </c>
      <c r="O1477" s="2"/>
    </row>
    <row r="1478" spans="1:15" x14ac:dyDescent="0.25">
      <c r="A1478" s="2" t="s">
        <v>15</v>
      </c>
      <c r="B1478" s="2" t="str">
        <f>"FES1162769262"</f>
        <v>FES1162769262</v>
      </c>
      <c r="C1478" s="2" t="s">
        <v>1008</v>
      </c>
      <c r="D1478" s="2">
        <v>1</v>
      </c>
      <c r="E1478" s="2" t="str">
        <f>"2170754095"</f>
        <v>2170754095</v>
      </c>
      <c r="F1478" s="2" t="s">
        <v>17</v>
      </c>
      <c r="G1478" s="2" t="s">
        <v>18</v>
      </c>
      <c r="H1478" s="2" t="s">
        <v>18</v>
      </c>
      <c r="I1478" s="2" t="s">
        <v>390</v>
      </c>
      <c r="J1478" s="2" t="s">
        <v>391</v>
      </c>
      <c r="K1478" s="2" t="s">
        <v>1084</v>
      </c>
      <c r="L1478" s="3">
        <v>0.3576388888888889</v>
      </c>
      <c r="M1478" s="2" t="s">
        <v>1172</v>
      </c>
      <c r="N1478" s="2" t="s">
        <v>500</v>
      </c>
      <c r="O1478" s="2"/>
    </row>
    <row r="1479" spans="1:15" x14ac:dyDescent="0.25">
      <c r="A1479" s="2" t="s">
        <v>15</v>
      </c>
      <c r="B1479" s="2" t="str">
        <f>"RFES1162769051"</f>
        <v>RFES1162769051</v>
      </c>
      <c r="C1479" s="2" t="s">
        <v>1084</v>
      </c>
      <c r="D1479" s="2">
        <v>1</v>
      </c>
      <c r="E1479" s="2" t="str">
        <f>"2170756738"</f>
        <v>2170756738</v>
      </c>
      <c r="F1479" s="2" t="s">
        <v>17</v>
      </c>
      <c r="G1479" s="2" t="s">
        <v>18</v>
      </c>
      <c r="H1479" s="2" t="s">
        <v>18</v>
      </c>
      <c r="I1479" s="2" t="s">
        <v>46</v>
      </c>
      <c r="J1479" s="2" t="s">
        <v>170</v>
      </c>
      <c r="K1479" s="2" t="s">
        <v>1190</v>
      </c>
      <c r="L1479" s="3">
        <v>0.38125000000000003</v>
      </c>
      <c r="M1479" s="2" t="s">
        <v>1253</v>
      </c>
      <c r="N1479" s="2" t="s">
        <v>500</v>
      </c>
      <c r="O1479" s="2"/>
    </row>
    <row r="1480" spans="1:15" x14ac:dyDescent="0.25">
      <c r="A1480" s="2" t="s">
        <v>15</v>
      </c>
      <c r="B1480" s="2" t="str">
        <f>"RFES1162768626"</f>
        <v>RFES1162768626</v>
      </c>
      <c r="C1480" s="2" t="s">
        <v>1084</v>
      </c>
      <c r="D1480" s="2">
        <v>1</v>
      </c>
      <c r="E1480" s="2" t="str">
        <f>"2170752650"</f>
        <v>2170752650</v>
      </c>
      <c r="F1480" s="2" t="s">
        <v>17</v>
      </c>
      <c r="G1480" s="2" t="s">
        <v>18</v>
      </c>
      <c r="H1480" s="2" t="s">
        <v>18</v>
      </c>
      <c r="I1480" s="2" t="s">
        <v>46</v>
      </c>
      <c r="J1480" s="2" t="s">
        <v>170</v>
      </c>
      <c r="K1480" s="2" t="s">
        <v>1190</v>
      </c>
      <c r="L1480" s="3">
        <v>0.38125000000000003</v>
      </c>
      <c r="M1480" s="2" t="s">
        <v>1253</v>
      </c>
      <c r="N1480" s="2" t="s">
        <v>500</v>
      </c>
      <c r="O1480" s="2"/>
    </row>
    <row r="1481" spans="1:15" x14ac:dyDescent="0.25">
      <c r="A1481" s="2" t="s">
        <v>15</v>
      </c>
      <c r="B1481" s="2" t="str">
        <f>"FES1162769351"</f>
        <v>FES1162769351</v>
      </c>
      <c r="C1481" s="2" t="s">
        <v>1084</v>
      </c>
      <c r="D1481" s="2">
        <v>1</v>
      </c>
      <c r="E1481" s="2" t="str">
        <f>"2170753900"</f>
        <v>2170753900</v>
      </c>
      <c r="F1481" s="2" t="s">
        <v>17</v>
      </c>
      <c r="G1481" s="2" t="s">
        <v>18</v>
      </c>
      <c r="H1481" s="2" t="s">
        <v>25</v>
      </c>
      <c r="I1481" s="2" t="s">
        <v>39</v>
      </c>
      <c r="J1481" s="2" t="s">
        <v>161</v>
      </c>
      <c r="K1481" s="2" t="s">
        <v>1190</v>
      </c>
      <c r="L1481" s="3">
        <v>0.41666666666666669</v>
      </c>
      <c r="M1481" s="2" t="s">
        <v>1256</v>
      </c>
      <c r="N1481" s="2" t="s">
        <v>500</v>
      </c>
      <c r="O1481" s="2"/>
    </row>
    <row r="1482" spans="1:15" x14ac:dyDescent="0.25">
      <c r="A1482" s="2" t="s">
        <v>15</v>
      </c>
      <c r="B1482" s="2" t="str">
        <f>"FES1162769283"</f>
        <v>FES1162769283</v>
      </c>
      <c r="C1482" s="2" t="s">
        <v>1084</v>
      </c>
      <c r="D1482" s="2">
        <v>1</v>
      </c>
      <c r="E1482" s="2" t="str">
        <f>"2170754575"</f>
        <v>2170754575</v>
      </c>
      <c r="F1482" s="2" t="s">
        <v>17</v>
      </c>
      <c r="G1482" s="2" t="s">
        <v>18</v>
      </c>
      <c r="H1482" s="2" t="s">
        <v>25</v>
      </c>
      <c r="I1482" s="2" t="s">
        <v>26</v>
      </c>
      <c r="J1482" s="2" t="s">
        <v>44</v>
      </c>
      <c r="K1482" s="2" t="s">
        <v>1190</v>
      </c>
      <c r="L1482" s="3">
        <v>0.4375</v>
      </c>
      <c r="M1482" s="2" t="s">
        <v>181</v>
      </c>
      <c r="N1482" s="2" t="s">
        <v>500</v>
      </c>
      <c r="O1482" s="2"/>
    </row>
    <row r="1483" spans="1:15" x14ac:dyDescent="0.25">
      <c r="A1483" s="2" t="s">
        <v>15</v>
      </c>
      <c r="B1483" s="2" t="str">
        <f>"FES1162769349"</f>
        <v>FES1162769349</v>
      </c>
      <c r="C1483" s="2" t="s">
        <v>1084</v>
      </c>
      <c r="D1483" s="2">
        <v>1</v>
      </c>
      <c r="E1483" s="2" t="str">
        <f>"2170752908"</f>
        <v>2170752908</v>
      </c>
      <c r="F1483" s="2" t="s">
        <v>17</v>
      </c>
      <c r="G1483" s="2" t="s">
        <v>18</v>
      </c>
      <c r="H1483" s="2" t="s">
        <v>25</v>
      </c>
      <c r="I1483" s="2" t="s">
        <v>26</v>
      </c>
      <c r="J1483" s="2" t="s">
        <v>75</v>
      </c>
      <c r="K1483" s="2" t="s">
        <v>1190</v>
      </c>
      <c r="L1483" s="3">
        <v>0.36458333333333331</v>
      </c>
      <c r="M1483" s="2" t="s">
        <v>677</v>
      </c>
      <c r="N1483" s="2" t="s">
        <v>500</v>
      </c>
      <c r="O1483" s="2"/>
    </row>
    <row r="1484" spans="1:15" s="4" customFormat="1" x14ac:dyDescent="0.25">
      <c r="A1484" s="2" t="s">
        <v>15</v>
      </c>
      <c r="B1484" s="2" t="str">
        <f>"FES1162769370"</f>
        <v>FES1162769370</v>
      </c>
      <c r="C1484" s="2" t="s">
        <v>1084</v>
      </c>
      <c r="D1484" s="2">
        <v>1</v>
      </c>
      <c r="E1484" s="2" t="str">
        <f>"2170755483"</f>
        <v>2170755483</v>
      </c>
      <c r="F1484" s="2" t="s">
        <v>17</v>
      </c>
      <c r="G1484" s="2" t="s">
        <v>18</v>
      </c>
      <c r="H1484" s="2" t="s">
        <v>88</v>
      </c>
      <c r="I1484" s="2" t="s">
        <v>109</v>
      </c>
      <c r="J1484" s="2" t="s">
        <v>614</v>
      </c>
      <c r="K1484" s="2" t="s">
        <v>1266</v>
      </c>
      <c r="L1484" s="3">
        <v>0.50972222222222219</v>
      </c>
      <c r="M1484" s="2" t="s">
        <v>1153</v>
      </c>
      <c r="N1484" s="2" t="s">
        <v>500</v>
      </c>
      <c r="O1484" s="2"/>
    </row>
    <row r="1485" spans="1:15" x14ac:dyDescent="0.25">
      <c r="A1485" s="2" t="s">
        <v>15</v>
      </c>
      <c r="B1485" s="2" t="str">
        <f>"FES1162769302"</f>
        <v>FES1162769302</v>
      </c>
      <c r="C1485" s="2" t="s">
        <v>1084</v>
      </c>
      <c r="D1485" s="2">
        <v>1</v>
      </c>
      <c r="E1485" s="2" t="str">
        <f>"2170754695"</f>
        <v>2170754695</v>
      </c>
      <c r="F1485" s="2" t="s">
        <v>17</v>
      </c>
      <c r="G1485" s="2" t="s">
        <v>18</v>
      </c>
      <c r="H1485" s="2" t="s">
        <v>484</v>
      </c>
      <c r="I1485" s="2" t="s">
        <v>485</v>
      </c>
      <c r="J1485" s="2" t="s">
        <v>653</v>
      </c>
      <c r="K1485" s="2" t="s">
        <v>1190</v>
      </c>
      <c r="L1485" s="3">
        <v>0.39027777777777778</v>
      </c>
      <c r="M1485" s="2" t="s">
        <v>1257</v>
      </c>
      <c r="N1485" s="2" t="s">
        <v>500</v>
      </c>
      <c r="O1485" s="2"/>
    </row>
    <row r="1486" spans="1:15" x14ac:dyDescent="0.25">
      <c r="A1486" s="2" t="s">
        <v>15</v>
      </c>
      <c r="B1486" s="2" t="str">
        <f>"FES1162769332"</f>
        <v>FES1162769332</v>
      </c>
      <c r="C1486" s="2" t="s">
        <v>1084</v>
      </c>
      <c r="D1486" s="2">
        <v>1</v>
      </c>
      <c r="E1486" s="2" t="str">
        <f>"2170756107"</f>
        <v>2170756107</v>
      </c>
      <c r="F1486" s="2" t="s">
        <v>17</v>
      </c>
      <c r="G1486" s="2" t="s">
        <v>18</v>
      </c>
      <c r="H1486" s="2" t="s">
        <v>19</v>
      </c>
      <c r="I1486" s="2" t="s">
        <v>20</v>
      </c>
      <c r="J1486" s="2" t="s">
        <v>428</v>
      </c>
      <c r="K1486" s="2" t="s">
        <v>1190</v>
      </c>
      <c r="L1486" s="3">
        <v>0.42430555555555555</v>
      </c>
      <c r="M1486" s="2" t="s">
        <v>533</v>
      </c>
      <c r="N1486" s="2" t="s">
        <v>500</v>
      </c>
      <c r="O1486" s="2"/>
    </row>
    <row r="1487" spans="1:15" x14ac:dyDescent="0.25">
      <c r="A1487" s="2" t="s">
        <v>15</v>
      </c>
      <c r="B1487" s="2" t="str">
        <f>"FES1162769257"</f>
        <v>FES1162769257</v>
      </c>
      <c r="C1487" s="2" t="s">
        <v>1084</v>
      </c>
      <c r="D1487" s="2">
        <v>1</v>
      </c>
      <c r="E1487" s="2" t="str">
        <f>"2170753847"</f>
        <v>2170753847</v>
      </c>
      <c r="F1487" s="2" t="s">
        <v>17</v>
      </c>
      <c r="G1487" s="2" t="s">
        <v>18</v>
      </c>
      <c r="H1487" s="2" t="s">
        <v>363</v>
      </c>
      <c r="I1487" s="2" t="s">
        <v>489</v>
      </c>
      <c r="J1487" s="2" t="s">
        <v>909</v>
      </c>
      <c r="K1487" s="2" t="s">
        <v>1190</v>
      </c>
      <c r="L1487" s="3">
        <v>0.39583333333333331</v>
      </c>
      <c r="M1487" s="2" t="s">
        <v>1002</v>
      </c>
      <c r="N1487" s="2" t="s">
        <v>500</v>
      </c>
      <c r="O1487" s="2"/>
    </row>
    <row r="1488" spans="1:15" x14ac:dyDescent="0.25">
      <c r="A1488" s="2" t="s">
        <v>15</v>
      </c>
      <c r="B1488" s="2" t="str">
        <f>"FES1162769342"</f>
        <v>FES1162769342</v>
      </c>
      <c r="C1488" s="2" t="s">
        <v>1084</v>
      </c>
      <c r="D1488" s="2">
        <v>1</v>
      </c>
      <c r="E1488" s="2" t="str">
        <f>"2170756568"</f>
        <v>2170756568</v>
      </c>
      <c r="F1488" s="2" t="s">
        <v>17</v>
      </c>
      <c r="G1488" s="2" t="s">
        <v>18</v>
      </c>
      <c r="H1488" s="2" t="s">
        <v>18</v>
      </c>
      <c r="I1488" s="2" t="s">
        <v>46</v>
      </c>
      <c r="J1488" s="2" t="s">
        <v>1218</v>
      </c>
      <c r="K1488" s="2" t="s">
        <v>1190</v>
      </c>
      <c r="L1488" s="3">
        <v>0.32847222222222222</v>
      </c>
      <c r="M1488" s="2" t="s">
        <v>1219</v>
      </c>
      <c r="N1488" s="2" t="s">
        <v>500</v>
      </c>
      <c r="O1488" s="2"/>
    </row>
    <row r="1489" spans="1:122" x14ac:dyDescent="0.25">
      <c r="A1489" s="2" t="s">
        <v>15</v>
      </c>
      <c r="B1489" s="2" t="str">
        <f>"FES1162769303"</f>
        <v>FES1162769303</v>
      </c>
      <c r="C1489" s="2" t="s">
        <v>1084</v>
      </c>
      <c r="D1489" s="2">
        <v>1</v>
      </c>
      <c r="E1489" s="2" t="str">
        <f>"2170754696"</f>
        <v>2170754696</v>
      </c>
      <c r="F1489" s="2" t="s">
        <v>17</v>
      </c>
      <c r="G1489" s="2" t="s">
        <v>18</v>
      </c>
      <c r="H1489" s="2" t="s">
        <v>78</v>
      </c>
      <c r="I1489" s="2" t="s">
        <v>159</v>
      </c>
      <c r="J1489" s="2" t="s">
        <v>402</v>
      </c>
      <c r="K1489" s="2" t="s">
        <v>1190</v>
      </c>
      <c r="L1489" s="3">
        <v>0.48958333333333331</v>
      </c>
      <c r="M1489" s="2" t="s">
        <v>1197</v>
      </c>
      <c r="N1489" s="2" t="s">
        <v>500</v>
      </c>
      <c r="O1489" s="2"/>
    </row>
    <row r="1490" spans="1:122" x14ac:dyDescent="0.25">
      <c r="A1490" s="2" t="s">
        <v>15</v>
      </c>
      <c r="B1490" s="2" t="str">
        <f>"FES1162769329"</f>
        <v>FES1162769329</v>
      </c>
      <c r="C1490" s="2" t="s">
        <v>1084</v>
      </c>
      <c r="D1490" s="2">
        <v>1</v>
      </c>
      <c r="E1490" s="2" t="str">
        <f>"2170755938"</f>
        <v>2170755938</v>
      </c>
      <c r="F1490" s="2" t="s">
        <v>17</v>
      </c>
      <c r="G1490" s="2" t="s">
        <v>18</v>
      </c>
      <c r="H1490" s="2" t="s">
        <v>19</v>
      </c>
      <c r="I1490" s="2" t="s">
        <v>20</v>
      </c>
      <c r="J1490" s="2" t="s">
        <v>447</v>
      </c>
      <c r="K1490" s="2" t="s">
        <v>1190</v>
      </c>
      <c r="L1490" s="3">
        <v>0.34236111111111112</v>
      </c>
      <c r="M1490" s="2" t="s">
        <v>1258</v>
      </c>
      <c r="N1490" s="2" t="s">
        <v>500</v>
      </c>
      <c r="O1490" s="2"/>
    </row>
    <row r="1491" spans="1:122" x14ac:dyDescent="0.25">
      <c r="A1491" s="2" t="s">
        <v>15</v>
      </c>
      <c r="B1491" s="2" t="str">
        <f>"FES1162769267"</f>
        <v>FES1162769267</v>
      </c>
      <c r="C1491" s="2" t="s">
        <v>1084</v>
      </c>
      <c r="D1491" s="2">
        <v>1</v>
      </c>
      <c r="E1491" s="2" t="str">
        <f>"2170754394"</f>
        <v>2170754394</v>
      </c>
      <c r="F1491" s="2" t="s">
        <v>17</v>
      </c>
      <c r="G1491" s="2" t="s">
        <v>18</v>
      </c>
      <c r="H1491" s="2" t="s">
        <v>19</v>
      </c>
      <c r="I1491" s="2" t="s">
        <v>111</v>
      </c>
      <c r="J1491" s="2" t="s">
        <v>1220</v>
      </c>
      <c r="K1491" s="2" t="s">
        <v>1190</v>
      </c>
      <c r="L1491" s="3">
        <v>0.39305555555555555</v>
      </c>
      <c r="M1491" s="2" t="s">
        <v>718</v>
      </c>
      <c r="N1491" s="2" t="s">
        <v>500</v>
      </c>
      <c r="O1491" s="2"/>
    </row>
    <row r="1492" spans="1:122" x14ac:dyDescent="0.25">
      <c r="A1492" s="2" t="s">
        <v>15</v>
      </c>
      <c r="B1492" s="2" t="str">
        <f>"FES1162769299"</f>
        <v>FES1162769299</v>
      </c>
      <c r="C1492" s="2" t="s">
        <v>1084</v>
      </c>
      <c r="D1492" s="2">
        <v>1</v>
      </c>
      <c r="E1492" s="2" t="str">
        <f>"2170754672"</f>
        <v>2170754672</v>
      </c>
      <c r="F1492" s="2" t="s">
        <v>17</v>
      </c>
      <c r="G1492" s="2" t="s">
        <v>18</v>
      </c>
      <c r="H1492" s="2" t="s">
        <v>19</v>
      </c>
      <c r="I1492" s="2" t="s">
        <v>111</v>
      </c>
      <c r="J1492" s="2" t="s">
        <v>369</v>
      </c>
      <c r="K1492" s="2" t="s">
        <v>1190</v>
      </c>
      <c r="L1492" s="3">
        <v>0.46249999999999997</v>
      </c>
      <c r="M1492" s="2" t="s">
        <v>1259</v>
      </c>
      <c r="N1492" s="2" t="s">
        <v>500</v>
      </c>
      <c r="O1492" s="2"/>
    </row>
    <row r="1493" spans="1:122" x14ac:dyDescent="0.25">
      <c r="A1493" s="2" t="s">
        <v>15</v>
      </c>
      <c r="B1493" s="2" t="str">
        <f>"FES1162769260"</f>
        <v>FES1162769260</v>
      </c>
      <c r="C1493" s="2" t="s">
        <v>1084</v>
      </c>
      <c r="D1493" s="2">
        <v>2</v>
      </c>
      <c r="E1493" s="2" t="str">
        <f>"2170753868"</f>
        <v>2170753868</v>
      </c>
      <c r="F1493" s="2" t="s">
        <v>17</v>
      </c>
      <c r="G1493" s="2" t="s">
        <v>18</v>
      </c>
      <c r="H1493" s="2" t="s">
        <v>19</v>
      </c>
      <c r="I1493" s="2" t="s">
        <v>73</v>
      </c>
      <c r="J1493" s="2" t="s">
        <v>76</v>
      </c>
      <c r="K1493" s="2" t="s">
        <v>1190</v>
      </c>
      <c r="L1493" s="3">
        <v>0.35972222222222222</v>
      </c>
      <c r="M1493" s="2" t="s">
        <v>197</v>
      </c>
      <c r="N1493" s="2" t="s">
        <v>500</v>
      </c>
      <c r="O1493" s="2"/>
    </row>
    <row r="1494" spans="1:122" x14ac:dyDescent="0.25">
      <c r="A1494" s="2" t="s">
        <v>15</v>
      </c>
      <c r="B1494" s="2" t="str">
        <f>"FES1162769365"</f>
        <v>FES1162769365</v>
      </c>
      <c r="C1494" s="2" t="s">
        <v>1084</v>
      </c>
      <c r="D1494" s="2">
        <v>1</v>
      </c>
      <c r="E1494" s="2" t="str">
        <f>"2170755163"</f>
        <v>2170755163</v>
      </c>
      <c r="F1494" s="2" t="s">
        <v>17</v>
      </c>
      <c r="G1494" s="2" t="s">
        <v>18</v>
      </c>
      <c r="H1494" s="2" t="s">
        <v>18</v>
      </c>
      <c r="I1494" s="2" t="s">
        <v>63</v>
      </c>
      <c r="J1494" s="2" t="s">
        <v>1221</v>
      </c>
      <c r="K1494" s="2" t="s">
        <v>1190</v>
      </c>
      <c r="L1494" s="3">
        <v>0.3125</v>
      </c>
      <c r="M1494" s="2" t="s">
        <v>1222</v>
      </c>
      <c r="N1494" s="2" t="s">
        <v>500</v>
      </c>
      <c r="O1494" s="2"/>
    </row>
    <row r="1495" spans="1:122" x14ac:dyDescent="0.25">
      <c r="A1495" s="2" t="s">
        <v>15</v>
      </c>
      <c r="B1495" s="2" t="str">
        <f>"FES1162769372"</f>
        <v>FES1162769372</v>
      </c>
      <c r="C1495" s="2" t="s">
        <v>1084</v>
      </c>
      <c r="D1495" s="2">
        <v>1</v>
      </c>
      <c r="E1495" s="2" t="str">
        <f>"2170755592"</f>
        <v>2170755592</v>
      </c>
      <c r="F1495" s="2" t="s">
        <v>17</v>
      </c>
      <c r="G1495" s="2" t="s">
        <v>18</v>
      </c>
      <c r="H1495" s="2" t="s">
        <v>18</v>
      </c>
      <c r="I1495" s="2" t="s">
        <v>50</v>
      </c>
      <c r="J1495" s="2" t="s">
        <v>285</v>
      </c>
      <c r="K1495" s="2" t="s">
        <v>1190</v>
      </c>
      <c r="L1495" s="3">
        <v>0.40763888888888888</v>
      </c>
      <c r="M1495" s="2" t="s">
        <v>808</v>
      </c>
      <c r="N1495" s="2" t="s">
        <v>500</v>
      </c>
      <c r="O1495" s="2"/>
    </row>
    <row r="1496" spans="1:122" x14ac:dyDescent="0.25">
      <c r="A1496" s="2" t="s">
        <v>15</v>
      </c>
      <c r="B1496" s="2" t="str">
        <f>"FES1162769380"</f>
        <v>FES1162769380</v>
      </c>
      <c r="C1496" s="2" t="s">
        <v>1084</v>
      </c>
      <c r="D1496" s="2">
        <v>1</v>
      </c>
      <c r="E1496" s="2" t="str">
        <f>"2170756323"</f>
        <v>2170756323</v>
      </c>
      <c r="F1496" s="2" t="s">
        <v>17</v>
      </c>
      <c r="G1496" s="2" t="s">
        <v>18</v>
      </c>
      <c r="H1496" s="2" t="s">
        <v>88</v>
      </c>
      <c r="I1496" s="2" t="s">
        <v>109</v>
      </c>
      <c r="J1496" s="2" t="s">
        <v>788</v>
      </c>
      <c r="K1496" s="2" t="s">
        <v>1190</v>
      </c>
      <c r="L1496" s="3">
        <v>0.4236111111111111</v>
      </c>
      <c r="M1496" s="2" t="s">
        <v>1260</v>
      </c>
      <c r="N1496" s="2" t="s">
        <v>500</v>
      </c>
      <c r="O1496" s="2"/>
    </row>
    <row r="1497" spans="1:122" x14ac:dyDescent="0.25">
      <c r="A1497" s="2" t="s">
        <v>15</v>
      </c>
      <c r="B1497" s="2" t="str">
        <f>"FES1162767032"</f>
        <v>FES1162767032</v>
      </c>
      <c r="C1497" s="2" t="s">
        <v>1084</v>
      </c>
      <c r="D1497" s="2">
        <v>1</v>
      </c>
      <c r="E1497" s="2" t="str">
        <f>"2170753239"</f>
        <v>2170753239</v>
      </c>
      <c r="F1497" s="2" t="s">
        <v>17</v>
      </c>
      <c r="G1497" s="2" t="s">
        <v>18</v>
      </c>
      <c r="H1497" s="2" t="s">
        <v>88</v>
      </c>
      <c r="I1497" s="2" t="s">
        <v>109</v>
      </c>
      <c r="J1497" s="2" t="s">
        <v>1223</v>
      </c>
      <c r="K1497" s="2" t="s">
        <v>1190</v>
      </c>
      <c r="L1497" s="3">
        <v>0.40625</v>
      </c>
      <c r="M1497" s="2" t="s">
        <v>1261</v>
      </c>
      <c r="N1497" s="2" t="s">
        <v>500</v>
      </c>
      <c r="O1497" s="2"/>
    </row>
    <row r="1498" spans="1:122" x14ac:dyDescent="0.25">
      <c r="A1498" s="2" t="s">
        <v>15</v>
      </c>
      <c r="B1498" s="2" t="str">
        <f>"FES1162769263"</f>
        <v>FES1162769263</v>
      </c>
      <c r="C1498" s="2" t="s">
        <v>1084</v>
      </c>
      <c r="D1498" s="2">
        <v>2</v>
      </c>
      <c r="E1498" s="2" t="str">
        <f>"2170754116"</f>
        <v>2170754116</v>
      </c>
      <c r="F1498" s="2" t="s">
        <v>17</v>
      </c>
      <c r="G1498" s="2" t="s">
        <v>18</v>
      </c>
      <c r="H1498" s="2" t="s">
        <v>19</v>
      </c>
      <c r="I1498" s="2" t="s">
        <v>73</v>
      </c>
      <c r="J1498" s="2" t="s">
        <v>76</v>
      </c>
      <c r="K1498" s="2" t="s">
        <v>1190</v>
      </c>
      <c r="L1498" s="3">
        <v>0.35972222222222222</v>
      </c>
      <c r="M1498" s="2" t="s">
        <v>197</v>
      </c>
      <c r="N1498" s="2" t="s">
        <v>500</v>
      </c>
      <c r="O1498" s="2"/>
    </row>
    <row r="1499" spans="1:122" x14ac:dyDescent="0.25">
      <c r="A1499" s="2" t="s">
        <v>15</v>
      </c>
      <c r="B1499" s="2" t="str">
        <f>"FES1162769315"</f>
        <v>FES1162769315</v>
      </c>
      <c r="C1499" s="2" t="s">
        <v>1084</v>
      </c>
      <c r="D1499" s="2">
        <v>1</v>
      </c>
      <c r="E1499" s="2" t="str">
        <f>"2170754743"</f>
        <v>2170754743</v>
      </c>
      <c r="F1499" s="2" t="s">
        <v>17</v>
      </c>
      <c r="G1499" s="2" t="s">
        <v>18</v>
      </c>
      <c r="H1499" s="2" t="s">
        <v>36</v>
      </c>
      <c r="I1499" s="2" t="s">
        <v>37</v>
      </c>
      <c r="J1499" s="2" t="s">
        <v>403</v>
      </c>
      <c r="K1499" s="2" t="s">
        <v>1190</v>
      </c>
      <c r="L1499" s="3">
        <v>0.41666666666666669</v>
      </c>
      <c r="M1499" s="2" t="s">
        <v>1262</v>
      </c>
      <c r="N1499" s="2" t="s">
        <v>500</v>
      </c>
      <c r="O1499" s="2"/>
    </row>
    <row r="1500" spans="1:122" x14ac:dyDescent="0.25">
      <c r="A1500" s="2" t="s">
        <v>15</v>
      </c>
      <c r="B1500" s="2" t="str">
        <f>"FES1162769249"</f>
        <v>FES1162769249</v>
      </c>
      <c r="C1500" s="2" t="s">
        <v>1084</v>
      </c>
      <c r="D1500" s="2">
        <v>1</v>
      </c>
      <c r="E1500" s="2" t="str">
        <f>"2170753285"</f>
        <v>2170753285</v>
      </c>
      <c r="F1500" s="2" t="s">
        <v>17</v>
      </c>
      <c r="G1500" s="2" t="s">
        <v>18</v>
      </c>
      <c r="H1500" s="2" t="s">
        <v>36</v>
      </c>
      <c r="I1500" s="2" t="s">
        <v>37</v>
      </c>
      <c r="J1500" s="2" t="s">
        <v>162</v>
      </c>
      <c r="K1500" s="2" t="s">
        <v>1190</v>
      </c>
      <c r="L1500" s="3">
        <v>0.33333333333333331</v>
      </c>
      <c r="M1500" s="2" t="s">
        <v>268</v>
      </c>
      <c r="N1500" s="2" t="s">
        <v>500</v>
      </c>
      <c r="O1500" s="2"/>
    </row>
    <row r="1501" spans="1:122" x14ac:dyDescent="0.25">
      <c r="A1501" s="2" t="s">
        <v>15</v>
      </c>
      <c r="B1501" s="2" t="str">
        <f>"FES1162769251"</f>
        <v>FES1162769251</v>
      </c>
      <c r="C1501" s="2" t="s">
        <v>1084</v>
      </c>
      <c r="D1501" s="2">
        <v>1</v>
      </c>
      <c r="E1501" s="2" t="str">
        <f>"2170753349"</f>
        <v>2170753349</v>
      </c>
      <c r="F1501" s="2" t="s">
        <v>17</v>
      </c>
      <c r="G1501" s="2" t="s">
        <v>18</v>
      </c>
      <c r="H1501" s="2" t="s">
        <v>36</v>
      </c>
      <c r="I1501" s="2" t="s">
        <v>37</v>
      </c>
      <c r="J1501" s="2" t="s">
        <v>646</v>
      </c>
      <c r="K1501" s="2" t="s">
        <v>1190</v>
      </c>
      <c r="L1501" s="3">
        <v>0.42708333333333331</v>
      </c>
      <c r="M1501" s="2" t="s">
        <v>1263</v>
      </c>
      <c r="N1501" s="2" t="s">
        <v>500</v>
      </c>
      <c r="O1501" s="2"/>
    </row>
    <row r="1502" spans="1:122" s="11" customFormat="1" x14ac:dyDescent="0.25">
      <c r="A1502" s="5" t="s">
        <v>15</v>
      </c>
      <c r="B1502" s="5" t="str">
        <f>"FES1162769293"</f>
        <v>FES1162769293</v>
      </c>
      <c r="C1502" s="5" t="s">
        <v>1084</v>
      </c>
      <c r="D1502" s="5">
        <v>1</v>
      </c>
      <c r="E1502" s="5" t="str">
        <f>"2170754635"</f>
        <v>2170754635</v>
      </c>
      <c r="F1502" s="5" t="s">
        <v>17</v>
      </c>
      <c r="G1502" s="5" t="s">
        <v>18</v>
      </c>
      <c r="H1502" s="5" t="s">
        <v>36</v>
      </c>
      <c r="I1502" s="5" t="s">
        <v>1129</v>
      </c>
      <c r="J1502" s="5" t="s">
        <v>1130</v>
      </c>
      <c r="K1502" s="5" t="s">
        <v>1190</v>
      </c>
      <c r="L1502" s="9">
        <v>0.52083333333333337</v>
      </c>
      <c r="M1502" s="5" t="s">
        <v>1825</v>
      </c>
      <c r="N1502" s="5" t="s">
        <v>500</v>
      </c>
      <c r="O1502" s="5"/>
      <c r="P1502" s="4"/>
      <c r="Q1502" s="4"/>
      <c r="R1502" s="4"/>
      <c r="S1502" s="4"/>
      <c r="T1502" s="4"/>
      <c r="U1502" s="4"/>
      <c r="V1502" s="4"/>
      <c r="W1502" s="4"/>
      <c r="X1502" s="4"/>
      <c r="Y1502" s="4"/>
      <c r="Z1502" s="4"/>
      <c r="AA1502" s="4"/>
      <c r="AB1502" s="4"/>
      <c r="AC1502" s="4"/>
      <c r="AD1502" s="4"/>
      <c r="AE1502" s="4"/>
      <c r="AF1502" s="4"/>
      <c r="AG1502" s="4"/>
      <c r="AH1502" s="4"/>
      <c r="AI1502" s="4"/>
      <c r="AJ1502" s="4"/>
      <c r="AK1502" s="4"/>
      <c r="AL1502" s="4"/>
      <c r="AM1502" s="4"/>
      <c r="AN1502" s="4"/>
      <c r="AO1502" s="4"/>
      <c r="AP1502" s="4"/>
      <c r="AQ1502" s="4"/>
      <c r="AR1502" s="4"/>
      <c r="AS1502" s="4"/>
      <c r="AT1502" s="4"/>
      <c r="AU1502" s="4"/>
      <c r="AV1502" s="4"/>
      <c r="AW1502" s="4"/>
      <c r="AX1502" s="4"/>
      <c r="AY1502" s="4"/>
      <c r="AZ1502" s="4"/>
      <c r="BA1502" s="4"/>
      <c r="BB1502" s="4"/>
      <c r="BC1502" s="4"/>
      <c r="BD1502" s="4"/>
      <c r="BE1502" s="4"/>
      <c r="BF1502" s="4"/>
      <c r="BG1502" s="4"/>
      <c r="BH1502" s="4"/>
      <c r="BI1502" s="4"/>
      <c r="BJ1502" s="4"/>
      <c r="BK1502" s="4"/>
      <c r="BL1502" s="4"/>
      <c r="BM1502" s="4"/>
      <c r="BN1502" s="4"/>
      <c r="BO1502" s="4"/>
      <c r="BP1502" s="4"/>
      <c r="BQ1502" s="4"/>
      <c r="BR1502" s="4"/>
      <c r="BS1502" s="4"/>
      <c r="BT1502" s="4"/>
      <c r="BU1502" s="4"/>
      <c r="BV1502" s="4"/>
      <c r="BW1502" s="4"/>
      <c r="BX1502" s="4"/>
      <c r="BY1502" s="4"/>
      <c r="BZ1502" s="4"/>
      <c r="CA1502" s="4"/>
      <c r="CB1502" s="4"/>
      <c r="CC1502" s="4"/>
      <c r="CD1502" s="4"/>
      <c r="CE1502" s="4"/>
      <c r="CF1502" s="4"/>
      <c r="CG1502" s="4"/>
      <c r="CH1502" s="4"/>
      <c r="CI1502" s="4"/>
      <c r="CJ1502" s="4"/>
      <c r="CK1502" s="4"/>
      <c r="CL1502" s="4"/>
      <c r="CM1502" s="4"/>
      <c r="CN1502" s="4"/>
      <c r="CO1502" s="4"/>
      <c r="CP1502" s="4"/>
      <c r="CQ1502" s="4"/>
      <c r="CR1502" s="4"/>
      <c r="CS1502" s="4"/>
      <c r="CT1502" s="4"/>
      <c r="CU1502" s="4"/>
      <c r="CV1502" s="4"/>
      <c r="CW1502" s="4"/>
      <c r="CX1502" s="4"/>
      <c r="CY1502" s="4"/>
      <c r="CZ1502" s="4"/>
      <c r="DA1502" s="4"/>
      <c r="DB1502" s="4"/>
      <c r="DC1502" s="4"/>
      <c r="DD1502" s="4"/>
      <c r="DE1502" s="4"/>
      <c r="DF1502" s="4"/>
      <c r="DG1502" s="4"/>
      <c r="DH1502" s="4"/>
      <c r="DI1502" s="4"/>
      <c r="DJ1502" s="4"/>
      <c r="DK1502" s="4"/>
      <c r="DL1502" s="4"/>
      <c r="DM1502" s="4"/>
      <c r="DN1502" s="4"/>
      <c r="DO1502" s="4"/>
      <c r="DP1502" s="4"/>
      <c r="DQ1502" s="4"/>
      <c r="DR1502" s="4"/>
    </row>
    <row r="1503" spans="1:122" x14ac:dyDescent="0.25">
      <c r="A1503" s="5" t="s">
        <v>15</v>
      </c>
      <c r="B1503" s="5" t="str">
        <f>"FES1162769250"</f>
        <v>FES1162769250</v>
      </c>
      <c r="C1503" s="5" t="s">
        <v>1084</v>
      </c>
      <c r="D1503" s="5">
        <v>1</v>
      </c>
      <c r="E1503" s="5" t="str">
        <f>"2170753307"</f>
        <v>2170753307</v>
      </c>
      <c r="F1503" s="5" t="s">
        <v>17</v>
      </c>
      <c r="G1503" s="5" t="s">
        <v>18</v>
      </c>
      <c r="H1503" s="5" t="s">
        <v>36</v>
      </c>
      <c r="I1503" s="5" t="s">
        <v>37</v>
      </c>
      <c r="J1503" s="5" t="s">
        <v>162</v>
      </c>
      <c r="K1503" s="5" t="s">
        <v>1190</v>
      </c>
      <c r="L1503" s="9">
        <v>0.33333333333333331</v>
      </c>
      <c r="M1503" s="5" t="s">
        <v>268</v>
      </c>
      <c r="N1503" s="5" t="s">
        <v>500</v>
      </c>
      <c r="O1503" s="5"/>
      <c r="P1503" s="4"/>
      <c r="Q1503" s="4"/>
      <c r="R1503" s="4"/>
      <c r="S1503" s="4"/>
      <c r="T1503" s="4"/>
      <c r="U1503" s="4"/>
      <c r="V1503" s="4"/>
      <c r="W1503" s="4"/>
      <c r="X1503" s="4"/>
      <c r="Y1503" s="4"/>
      <c r="Z1503" s="4"/>
      <c r="AA1503" s="4"/>
      <c r="AB1503" s="4"/>
      <c r="AC1503" s="4"/>
      <c r="AD1503" s="4"/>
      <c r="AE1503" s="4"/>
      <c r="AF1503" s="4"/>
      <c r="AG1503" s="4"/>
      <c r="AH1503" s="4"/>
      <c r="AI1503" s="4"/>
      <c r="AJ1503" s="4"/>
      <c r="AK1503" s="4"/>
      <c r="AL1503" s="4"/>
      <c r="AM1503" s="4"/>
      <c r="AN1503" s="4"/>
      <c r="AO1503" s="4"/>
      <c r="AP1503" s="4"/>
      <c r="AQ1503" s="4"/>
      <c r="AR1503" s="4"/>
      <c r="AS1503" s="4"/>
      <c r="AT1503" s="4"/>
      <c r="AU1503" s="4"/>
      <c r="AV1503" s="4"/>
      <c r="AW1503" s="4"/>
      <c r="AX1503" s="4"/>
      <c r="AY1503" s="4"/>
      <c r="AZ1503" s="4"/>
      <c r="BA1503" s="4"/>
      <c r="BB1503" s="4"/>
      <c r="BC1503" s="4"/>
      <c r="BD1503" s="4"/>
      <c r="BE1503" s="4"/>
      <c r="BF1503" s="4"/>
      <c r="BG1503" s="4"/>
      <c r="BH1503" s="4"/>
      <c r="BI1503" s="4"/>
      <c r="BJ1503" s="4"/>
      <c r="BK1503" s="4"/>
      <c r="BL1503" s="4"/>
      <c r="BM1503" s="4"/>
      <c r="BN1503" s="4"/>
      <c r="BO1503" s="4"/>
      <c r="BP1503" s="4"/>
      <c r="BQ1503" s="4"/>
      <c r="BR1503" s="4"/>
      <c r="BS1503" s="4"/>
      <c r="BT1503" s="4"/>
      <c r="BU1503" s="4"/>
      <c r="BV1503" s="4"/>
      <c r="BW1503" s="4"/>
      <c r="BX1503" s="4"/>
      <c r="BY1503" s="4"/>
      <c r="BZ1503" s="4"/>
      <c r="CA1503" s="4"/>
      <c r="CB1503" s="4"/>
      <c r="CC1503" s="4"/>
      <c r="CD1503" s="4"/>
      <c r="CE1503" s="4"/>
      <c r="CF1503" s="4"/>
      <c r="CG1503" s="4"/>
      <c r="CH1503" s="4"/>
      <c r="CI1503" s="4"/>
      <c r="CJ1503" s="4"/>
      <c r="CK1503" s="4"/>
      <c r="CL1503" s="4"/>
      <c r="CM1503" s="4"/>
      <c r="CN1503" s="4"/>
      <c r="CO1503" s="4"/>
      <c r="CP1503" s="4"/>
      <c r="CQ1503" s="4"/>
      <c r="CR1503" s="4"/>
      <c r="CS1503" s="4"/>
      <c r="CT1503" s="4"/>
      <c r="CU1503" s="4"/>
      <c r="CV1503" s="4"/>
      <c r="CW1503" s="4"/>
      <c r="CX1503" s="4"/>
      <c r="CY1503" s="4"/>
      <c r="CZ1503" s="4"/>
      <c r="DA1503" s="4"/>
      <c r="DB1503" s="4"/>
      <c r="DC1503" s="4"/>
      <c r="DD1503" s="4"/>
      <c r="DE1503" s="4"/>
      <c r="DF1503" s="4"/>
      <c r="DG1503" s="4"/>
      <c r="DH1503" s="4"/>
      <c r="DI1503" s="4"/>
      <c r="DJ1503" s="4"/>
      <c r="DK1503" s="4"/>
      <c r="DL1503" s="4"/>
      <c r="DM1503" s="4"/>
      <c r="DN1503" s="4"/>
      <c r="DO1503" s="4"/>
      <c r="DP1503" s="4"/>
      <c r="DQ1503" s="4"/>
      <c r="DR1503" s="4"/>
    </row>
    <row r="1504" spans="1:122" x14ac:dyDescent="0.25">
      <c r="A1504" s="5" t="s">
        <v>15</v>
      </c>
      <c r="B1504" s="5" t="str">
        <f>"FES1162769291"</f>
        <v>FES1162769291</v>
      </c>
      <c r="C1504" s="5" t="s">
        <v>1084</v>
      </c>
      <c r="D1504" s="5">
        <v>1</v>
      </c>
      <c r="E1504" s="5" t="str">
        <f>"2170754624"</f>
        <v>2170754624</v>
      </c>
      <c r="F1504" s="5" t="s">
        <v>17</v>
      </c>
      <c r="G1504" s="5" t="s">
        <v>18</v>
      </c>
      <c r="H1504" s="5" t="s">
        <v>36</v>
      </c>
      <c r="I1504" s="5" t="s">
        <v>37</v>
      </c>
      <c r="J1504" s="5" t="s">
        <v>102</v>
      </c>
      <c r="K1504" s="5" t="s">
        <v>1190</v>
      </c>
      <c r="L1504" s="9">
        <v>0.3979166666666667</v>
      </c>
      <c r="M1504" s="5" t="s">
        <v>219</v>
      </c>
      <c r="N1504" s="5" t="s">
        <v>500</v>
      </c>
      <c r="O1504" s="5"/>
      <c r="P1504" s="4"/>
      <c r="Q1504" s="4"/>
      <c r="R1504" s="4"/>
      <c r="S1504" s="4"/>
      <c r="T1504" s="4"/>
      <c r="U1504" s="4"/>
      <c r="V1504" s="4"/>
      <c r="W1504" s="4"/>
      <c r="X1504" s="4"/>
      <c r="Y1504" s="4"/>
      <c r="Z1504" s="4"/>
      <c r="AA1504" s="4"/>
      <c r="AB1504" s="4"/>
      <c r="AC1504" s="4"/>
      <c r="AD1504" s="4"/>
      <c r="AE1504" s="4"/>
      <c r="AF1504" s="4"/>
      <c r="AG1504" s="4"/>
      <c r="AH1504" s="4"/>
      <c r="AI1504" s="4"/>
      <c r="AJ1504" s="4"/>
      <c r="AK1504" s="4"/>
      <c r="AL1504" s="4"/>
      <c r="AM1504" s="4"/>
      <c r="AN1504" s="4"/>
      <c r="AO1504" s="4"/>
      <c r="AP1504" s="4"/>
      <c r="AQ1504" s="4"/>
      <c r="AR1504" s="4"/>
      <c r="AS1504" s="4"/>
      <c r="AT1504" s="4"/>
      <c r="AU1504" s="4"/>
      <c r="AV1504" s="4"/>
      <c r="AW1504" s="4"/>
      <c r="AX1504" s="4"/>
      <c r="AY1504" s="4"/>
      <c r="AZ1504" s="4"/>
      <c r="BA1504" s="4"/>
      <c r="BB1504" s="4"/>
      <c r="BC1504" s="4"/>
      <c r="BD1504" s="4"/>
      <c r="BE1504" s="4"/>
      <c r="BF1504" s="4"/>
      <c r="BG1504" s="4"/>
      <c r="BH1504" s="4"/>
      <c r="BI1504" s="4"/>
      <c r="BJ1504" s="4"/>
      <c r="BK1504" s="4"/>
      <c r="BL1504" s="4"/>
      <c r="BM1504" s="4"/>
      <c r="BN1504" s="4"/>
      <c r="BO1504" s="4"/>
      <c r="BP1504" s="4"/>
      <c r="BQ1504" s="4"/>
      <c r="BR1504" s="4"/>
      <c r="BS1504" s="4"/>
      <c r="BT1504" s="4"/>
      <c r="BU1504" s="4"/>
      <c r="BV1504" s="4"/>
      <c r="BW1504" s="4"/>
      <c r="BX1504" s="4"/>
      <c r="BY1504" s="4"/>
      <c r="BZ1504" s="4"/>
      <c r="CA1504" s="4"/>
      <c r="CB1504" s="4"/>
      <c r="CC1504" s="4"/>
      <c r="CD1504" s="4"/>
      <c r="CE1504" s="4"/>
      <c r="CF1504" s="4"/>
      <c r="CG1504" s="4"/>
      <c r="CH1504" s="4"/>
      <c r="CI1504" s="4"/>
      <c r="CJ1504" s="4"/>
      <c r="CK1504" s="4"/>
      <c r="CL1504" s="4"/>
      <c r="CM1504" s="4"/>
      <c r="CN1504" s="4"/>
      <c r="CO1504" s="4"/>
      <c r="CP1504" s="4"/>
      <c r="CQ1504" s="4"/>
      <c r="CR1504" s="4"/>
      <c r="CS1504" s="4"/>
      <c r="CT1504" s="4"/>
      <c r="CU1504" s="4"/>
      <c r="CV1504" s="4"/>
      <c r="CW1504" s="4"/>
      <c r="CX1504" s="4"/>
      <c r="CY1504" s="4"/>
      <c r="CZ1504" s="4"/>
      <c r="DA1504" s="4"/>
      <c r="DB1504" s="4"/>
      <c r="DC1504" s="4"/>
      <c r="DD1504" s="4"/>
      <c r="DE1504" s="4"/>
      <c r="DF1504" s="4"/>
      <c r="DG1504" s="4"/>
      <c r="DH1504" s="4"/>
      <c r="DI1504" s="4"/>
      <c r="DJ1504" s="4"/>
      <c r="DK1504" s="4"/>
      <c r="DL1504" s="4"/>
      <c r="DM1504" s="4"/>
      <c r="DN1504" s="4"/>
      <c r="DO1504" s="4"/>
      <c r="DP1504" s="4"/>
      <c r="DQ1504" s="4"/>
      <c r="DR1504" s="4"/>
    </row>
    <row r="1505" spans="1:122" x14ac:dyDescent="0.25">
      <c r="A1505" s="5" t="s">
        <v>15</v>
      </c>
      <c r="B1505" s="5" t="str">
        <f>"FES1162769335"</f>
        <v>FES1162769335</v>
      </c>
      <c r="C1505" s="5" t="s">
        <v>1084</v>
      </c>
      <c r="D1505" s="5">
        <v>1</v>
      </c>
      <c r="E1505" s="5" t="str">
        <f>"2170756436"</f>
        <v>2170756436</v>
      </c>
      <c r="F1505" s="5" t="s">
        <v>17</v>
      </c>
      <c r="G1505" s="5" t="s">
        <v>18</v>
      </c>
      <c r="H1505" s="5" t="s">
        <v>33</v>
      </c>
      <c r="I1505" s="5" t="s">
        <v>34</v>
      </c>
      <c r="J1505" s="5" t="s">
        <v>371</v>
      </c>
      <c r="K1505" s="5" t="s">
        <v>1190</v>
      </c>
      <c r="L1505" s="9">
        <v>0.43333333333333335</v>
      </c>
      <c r="M1505" s="5" t="s">
        <v>1264</v>
      </c>
      <c r="N1505" s="5" t="s">
        <v>500</v>
      </c>
      <c r="O1505" s="5"/>
      <c r="P1505" s="4"/>
      <c r="Q1505" s="4"/>
      <c r="R1505" s="4"/>
      <c r="S1505" s="4"/>
      <c r="T1505" s="4"/>
      <c r="U1505" s="4"/>
      <c r="V1505" s="4"/>
      <c r="W1505" s="4"/>
      <c r="X1505" s="4"/>
      <c r="Y1505" s="4"/>
      <c r="Z1505" s="4"/>
      <c r="AA1505" s="4"/>
      <c r="AB1505" s="4"/>
      <c r="AC1505" s="4"/>
      <c r="AD1505" s="4"/>
      <c r="AE1505" s="4"/>
      <c r="AF1505" s="4"/>
      <c r="AG1505" s="4"/>
      <c r="AH1505" s="4"/>
      <c r="AI1505" s="4"/>
      <c r="AJ1505" s="4"/>
      <c r="AK1505" s="4"/>
      <c r="AL1505" s="4"/>
      <c r="AM1505" s="4"/>
      <c r="AN1505" s="4"/>
      <c r="AO1505" s="4"/>
      <c r="AP1505" s="4"/>
      <c r="AQ1505" s="4"/>
      <c r="AR1505" s="4"/>
      <c r="AS1505" s="4"/>
      <c r="AT1505" s="4"/>
      <c r="AU1505" s="4"/>
      <c r="AV1505" s="4"/>
      <c r="AW1505" s="4"/>
      <c r="AX1505" s="4"/>
      <c r="AY1505" s="4"/>
      <c r="AZ1505" s="4"/>
      <c r="BA1505" s="4"/>
      <c r="BB1505" s="4"/>
      <c r="BC1505" s="4"/>
      <c r="BD1505" s="4"/>
      <c r="BE1505" s="4"/>
      <c r="BF1505" s="4"/>
      <c r="BG1505" s="4"/>
      <c r="BH1505" s="4"/>
      <c r="BI1505" s="4"/>
      <c r="BJ1505" s="4"/>
      <c r="BK1505" s="4"/>
      <c r="BL1505" s="4"/>
      <c r="BM1505" s="4"/>
      <c r="BN1505" s="4"/>
      <c r="BO1505" s="4"/>
      <c r="BP1505" s="4"/>
      <c r="BQ1505" s="4"/>
      <c r="BR1505" s="4"/>
      <c r="BS1505" s="4"/>
      <c r="BT1505" s="4"/>
      <c r="BU1505" s="4"/>
      <c r="BV1505" s="4"/>
      <c r="BW1505" s="4"/>
      <c r="BX1505" s="4"/>
      <c r="BY1505" s="4"/>
      <c r="BZ1505" s="4"/>
      <c r="CA1505" s="4"/>
      <c r="CB1505" s="4"/>
      <c r="CC1505" s="4"/>
      <c r="CD1505" s="4"/>
      <c r="CE1505" s="4"/>
      <c r="CF1505" s="4"/>
      <c r="CG1505" s="4"/>
      <c r="CH1505" s="4"/>
      <c r="CI1505" s="4"/>
      <c r="CJ1505" s="4"/>
      <c r="CK1505" s="4"/>
      <c r="CL1505" s="4"/>
      <c r="CM1505" s="4"/>
      <c r="CN1505" s="4"/>
      <c r="CO1505" s="4"/>
      <c r="CP1505" s="4"/>
      <c r="CQ1505" s="4"/>
      <c r="CR1505" s="4"/>
      <c r="CS1505" s="4"/>
      <c r="CT1505" s="4"/>
      <c r="CU1505" s="4"/>
      <c r="CV1505" s="4"/>
      <c r="CW1505" s="4"/>
      <c r="CX1505" s="4"/>
      <c r="CY1505" s="4"/>
      <c r="CZ1505" s="4"/>
      <c r="DA1505" s="4"/>
      <c r="DB1505" s="4"/>
      <c r="DC1505" s="4"/>
      <c r="DD1505" s="4"/>
      <c r="DE1505" s="4"/>
      <c r="DF1505" s="4"/>
      <c r="DG1505" s="4"/>
      <c r="DH1505" s="4"/>
      <c r="DI1505" s="4"/>
      <c r="DJ1505" s="4"/>
      <c r="DK1505" s="4"/>
      <c r="DL1505" s="4"/>
      <c r="DM1505" s="4"/>
      <c r="DN1505" s="4"/>
      <c r="DO1505" s="4"/>
      <c r="DP1505" s="4"/>
      <c r="DQ1505" s="4"/>
      <c r="DR1505" s="4"/>
    </row>
    <row r="1506" spans="1:122" x14ac:dyDescent="0.25">
      <c r="A1506" s="5" t="s">
        <v>15</v>
      </c>
      <c r="B1506" s="5" t="str">
        <f>"FES1162769289"</f>
        <v>FES1162769289</v>
      </c>
      <c r="C1506" s="5" t="s">
        <v>1084</v>
      </c>
      <c r="D1506" s="5">
        <v>1</v>
      </c>
      <c r="E1506" s="5" t="str">
        <f>"2170754616"</f>
        <v>2170754616</v>
      </c>
      <c r="F1506" s="5" t="s">
        <v>17</v>
      </c>
      <c r="G1506" s="5" t="s">
        <v>18</v>
      </c>
      <c r="H1506" s="5" t="s">
        <v>36</v>
      </c>
      <c r="I1506" s="5" t="s">
        <v>37</v>
      </c>
      <c r="J1506" s="5" t="s">
        <v>102</v>
      </c>
      <c r="K1506" s="5" t="s">
        <v>1190</v>
      </c>
      <c r="L1506" s="9">
        <v>0.3979166666666667</v>
      </c>
      <c r="M1506" s="5" t="s">
        <v>219</v>
      </c>
      <c r="N1506" s="5" t="s">
        <v>500</v>
      </c>
      <c r="O1506" s="5"/>
      <c r="P1506" s="4"/>
      <c r="Q1506" s="4"/>
      <c r="R1506" s="4"/>
      <c r="S1506" s="4"/>
      <c r="T1506" s="4"/>
      <c r="U1506" s="4"/>
      <c r="V1506" s="4"/>
      <c r="W1506" s="4"/>
      <c r="X1506" s="4"/>
      <c r="Y1506" s="4"/>
      <c r="Z1506" s="4"/>
      <c r="AA1506" s="4"/>
      <c r="AB1506" s="4"/>
      <c r="AC1506" s="4"/>
      <c r="AD1506" s="4"/>
      <c r="AE1506" s="4"/>
      <c r="AF1506" s="4"/>
      <c r="AG1506" s="4"/>
      <c r="AH1506" s="4"/>
      <c r="AI1506" s="4"/>
      <c r="AJ1506" s="4"/>
      <c r="AK1506" s="4"/>
      <c r="AL1506" s="4"/>
      <c r="AM1506" s="4"/>
      <c r="AN1506" s="4"/>
      <c r="AO1506" s="4"/>
      <c r="AP1506" s="4"/>
      <c r="AQ1506" s="4"/>
      <c r="AR1506" s="4"/>
      <c r="AS1506" s="4"/>
      <c r="AT1506" s="4"/>
      <c r="AU1506" s="4"/>
      <c r="AV1506" s="4"/>
      <c r="AW1506" s="4"/>
      <c r="AX1506" s="4"/>
      <c r="AY1506" s="4"/>
      <c r="AZ1506" s="4"/>
      <c r="BA1506" s="4"/>
      <c r="BB1506" s="4"/>
      <c r="BC1506" s="4"/>
      <c r="BD1506" s="4"/>
      <c r="BE1506" s="4"/>
      <c r="BF1506" s="4"/>
      <c r="BG1506" s="4"/>
      <c r="BH1506" s="4"/>
      <c r="BI1506" s="4"/>
      <c r="BJ1506" s="4"/>
      <c r="BK1506" s="4"/>
      <c r="BL1506" s="4"/>
      <c r="BM1506" s="4"/>
      <c r="BN1506" s="4"/>
      <c r="BO1506" s="4"/>
      <c r="BP1506" s="4"/>
      <c r="BQ1506" s="4"/>
      <c r="BR1506" s="4"/>
      <c r="BS1506" s="4"/>
      <c r="BT1506" s="4"/>
      <c r="BU1506" s="4"/>
      <c r="BV1506" s="4"/>
      <c r="BW1506" s="4"/>
      <c r="BX1506" s="4"/>
      <c r="BY1506" s="4"/>
      <c r="BZ1506" s="4"/>
      <c r="CA1506" s="4"/>
      <c r="CB1506" s="4"/>
      <c r="CC1506" s="4"/>
      <c r="CD1506" s="4"/>
      <c r="CE1506" s="4"/>
      <c r="CF1506" s="4"/>
      <c r="CG1506" s="4"/>
      <c r="CH1506" s="4"/>
      <c r="CI1506" s="4"/>
      <c r="CJ1506" s="4"/>
      <c r="CK1506" s="4"/>
      <c r="CL1506" s="4"/>
      <c r="CM1506" s="4"/>
      <c r="CN1506" s="4"/>
      <c r="CO1506" s="4"/>
      <c r="CP1506" s="4"/>
      <c r="CQ1506" s="4"/>
      <c r="CR1506" s="4"/>
      <c r="CS1506" s="4"/>
      <c r="CT1506" s="4"/>
      <c r="CU1506" s="4"/>
      <c r="CV1506" s="4"/>
      <c r="CW1506" s="4"/>
      <c r="CX1506" s="4"/>
      <c r="CY1506" s="4"/>
      <c r="CZ1506" s="4"/>
      <c r="DA1506" s="4"/>
      <c r="DB1506" s="4"/>
      <c r="DC1506" s="4"/>
      <c r="DD1506" s="4"/>
      <c r="DE1506" s="4"/>
      <c r="DF1506" s="4"/>
      <c r="DG1506" s="4"/>
      <c r="DH1506" s="4"/>
      <c r="DI1506" s="4"/>
      <c r="DJ1506" s="4"/>
      <c r="DK1506" s="4"/>
      <c r="DL1506" s="4"/>
      <c r="DM1506" s="4"/>
      <c r="DN1506" s="4"/>
      <c r="DO1506" s="4"/>
      <c r="DP1506" s="4"/>
      <c r="DQ1506" s="4"/>
      <c r="DR1506" s="4"/>
    </row>
    <row r="1507" spans="1:122" x14ac:dyDescent="0.25">
      <c r="A1507" s="5" t="s">
        <v>15</v>
      </c>
      <c r="B1507" s="5" t="str">
        <f>"FES1162769285"</f>
        <v>FES1162769285</v>
      </c>
      <c r="C1507" s="5" t="s">
        <v>1084</v>
      </c>
      <c r="D1507" s="5">
        <v>1</v>
      </c>
      <c r="E1507" s="5" t="str">
        <f>"2170754578"</f>
        <v>2170754578</v>
      </c>
      <c r="F1507" s="5" t="s">
        <v>17</v>
      </c>
      <c r="G1507" s="5" t="s">
        <v>18</v>
      </c>
      <c r="H1507" s="5" t="s">
        <v>36</v>
      </c>
      <c r="I1507" s="5" t="s">
        <v>37</v>
      </c>
      <c r="J1507" s="5" t="s">
        <v>869</v>
      </c>
      <c r="K1507" s="5" t="s">
        <v>1190</v>
      </c>
      <c r="L1507" s="9">
        <v>0.3888888888888889</v>
      </c>
      <c r="M1507" s="5" t="s">
        <v>1265</v>
      </c>
      <c r="N1507" s="5" t="s">
        <v>500</v>
      </c>
      <c r="O1507" s="5"/>
      <c r="P1507" s="4"/>
      <c r="Q1507" s="4"/>
      <c r="R1507" s="4"/>
      <c r="S1507" s="4"/>
      <c r="T1507" s="4"/>
      <c r="U1507" s="4"/>
      <c r="V1507" s="4"/>
      <c r="W1507" s="4"/>
      <c r="X1507" s="4"/>
      <c r="Y1507" s="4"/>
      <c r="Z1507" s="4"/>
      <c r="AA1507" s="4"/>
      <c r="AB1507" s="4"/>
      <c r="AC1507" s="4"/>
      <c r="AD1507" s="4"/>
      <c r="AE1507" s="4"/>
      <c r="AF1507" s="4"/>
      <c r="AG1507" s="4"/>
      <c r="AH1507" s="4"/>
      <c r="AI1507" s="4"/>
      <c r="AJ1507" s="4"/>
      <c r="AK1507" s="4"/>
      <c r="AL1507" s="4"/>
      <c r="AM1507" s="4"/>
      <c r="AN1507" s="4"/>
      <c r="AO1507" s="4"/>
      <c r="AP1507" s="4"/>
      <c r="AQ1507" s="4"/>
      <c r="AR1507" s="4"/>
      <c r="AS1507" s="4"/>
      <c r="AT1507" s="4"/>
      <c r="AU1507" s="4"/>
      <c r="AV1507" s="4"/>
      <c r="AW1507" s="4"/>
      <c r="AX1507" s="4"/>
      <c r="AY1507" s="4"/>
      <c r="AZ1507" s="4"/>
      <c r="BA1507" s="4"/>
      <c r="BB1507" s="4"/>
      <c r="BC1507" s="4"/>
      <c r="BD1507" s="4"/>
      <c r="BE1507" s="4"/>
      <c r="BF1507" s="4"/>
      <c r="BG1507" s="4"/>
      <c r="BH1507" s="4"/>
      <c r="BI1507" s="4"/>
      <c r="BJ1507" s="4"/>
      <c r="BK1507" s="4"/>
      <c r="BL1507" s="4"/>
      <c r="BM1507" s="4"/>
      <c r="BN1507" s="4"/>
      <c r="BO1507" s="4"/>
      <c r="BP1507" s="4"/>
      <c r="BQ1507" s="4"/>
      <c r="BR1507" s="4"/>
      <c r="BS1507" s="4"/>
      <c r="BT1507" s="4"/>
      <c r="BU1507" s="4"/>
      <c r="BV1507" s="4"/>
      <c r="BW1507" s="4"/>
      <c r="BX1507" s="4"/>
      <c r="BY1507" s="4"/>
      <c r="BZ1507" s="4"/>
      <c r="CA1507" s="4"/>
      <c r="CB1507" s="4"/>
      <c r="CC1507" s="4"/>
      <c r="CD1507" s="4"/>
      <c r="CE1507" s="4"/>
      <c r="CF1507" s="4"/>
      <c r="CG1507" s="4"/>
      <c r="CH1507" s="4"/>
      <c r="CI1507" s="4"/>
      <c r="CJ1507" s="4"/>
      <c r="CK1507" s="4"/>
      <c r="CL1507" s="4"/>
      <c r="CM1507" s="4"/>
      <c r="CN1507" s="4"/>
      <c r="CO1507" s="4"/>
      <c r="CP1507" s="4"/>
      <c r="CQ1507" s="4"/>
      <c r="CR1507" s="4"/>
      <c r="CS1507" s="4"/>
      <c r="CT1507" s="4"/>
      <c r="CU1507" s="4"/>
      <c r="CV1507" s="4"/>
      <c r="CW1507" s="4"/>
      <c r="CX1507" s="4"/>
      <c r="CY1507" s="4"/>
      <c r="CZ1507" s="4"/>
      <c r="DA1507" s="4"/>
      <c r="DB1507" s="4"/>
      <c r="DC1507" s="4"/>
      <c r="DD1507" s="4"/>
      <c r="DE1507" s="4"/>
      <c r="DF1507" s="4"/>
      <c r="DG1507" s="4"/>
      <c r="DH1507" s="4"/>
      <c r="DI1507" s="4"/>
      <c r="DJ1507" s="4"/>
      <c r="DK1507" s="4"/>
      <c r="DL1507" s="4"/>
      <c r="DM1507" s="4"/>
      <c r="DN1507" s="4"/>
      <c r="DO1507" s="4"/>
      <c r="DP1507" s="4"/>
      <c r="DQ1507" s="4"/>
      <c r="DR1507" s="4"/>
    </row>
    <row r="1508" spans="1:122" x14ac:dyDescent="0.25">
      <c r="A1508" s="5" t="s">
        <v>15</v>
      </c>
      <c r="B1508" s="5" t="str">
        <f>"FES1162769278"</f>
        <v>FES1162769278</v>
      </c>
      <c r="C1508" s="5" t="s">
        <v>1084</v>
      </c>
      <c r="D1508" s="5">
        <v>1</v>
      </c>
      <c r="E1508" s="5" t="str">
        <f>"2170754514"</f>
        <v>2170754514</v>
      </c>
      <c r="F1508" s="5" t="s">
        <v>17</v>
      </c>
      <c r="G1508" s="5" t="s">
        <v>18</v>
      </c>
      <c r="H1508" s="5" t="s">
        <v>36</v>
      </c>
      <c r="I1508" s="5" t="s">
        <v>37</v>
      </c>
      <c r="J1508" s="5" t="s">
        <v>279</v>
      </c>
      <c r="K1508" s="5" t="s">
        <v>1190</v>
      </c>
      <c r="L1508" s="9">
        <v>0.3888888888888889</v>
      </c>
      <c r="M1508" s="5" t="s">
        <v>408</v>
      </c>
      <c r="N1508" s="5" t="s">
        <v>500</v>
      </c>
      <c r="O1508" s="5"/>
      <c r="P1508" s="4"/>
      <c r="Q1508" s="4"/>
      <c r="R1508" s="4"/>
      <c r="S1508" s="4"/>
      <c r="T1508" s="4"/>
      <c r="U1508" s="4"/>
      <c r="V1508" s="4"/>
      <c r="W1508" s="4"/>
      <c r="X1508" s="4"/>
      <c r="Y1508" s="4"/>
      <c r="Z1508" s="4"/>
      <c r="AA1508" s="4"/>
      <c r="AB1508" s="4"/>
      <c r="AC1508" s="4"/>
      <c r="AD1508" s="4"/>
      <c r="AE1508" s="4"/>
      <c r="AF1508" s="4"/>
      <c r="AG1508" s="4"/>
      <c r="AH1508" s="4"/>
      <c r="AI1508" s="4"/>
      <c r="AJ1508" s="4"/>
      <c r="AK1508" s="4"/>
      <c r="AL1508" s="4"/>
      <c r="AM1508" s="4"/>
      <c r="AN1508" s="4"/>
      <c r="AO1508" s="4"/>
      <c r="AP1508" s="4"/>
      <c r="AQ1508" s="4"/>
      <c r="AR1508" s="4"/>
      <c r="AS1508" s="4"/>
      <c r="AT1508" s="4"/>
      <c r="AU1508" s="4"/>
      <c r="AV1508" s="4"/>
      <c r="AW1508" s="4"/>
      <c r="AX1508" s="4"/>
      <c r="AY1508" s="4"/>
      <c r="AZ1508" s="4"/>
      <c r="BA1508" s="4"/>
      <c r="BB1508" s="4"/>
      <c r="BC1508" s="4"/>
      <c r="BD1508" s="4"/>
      <c r="BE1508" s="4"/>
      <c r="BF1508" s="4"/>
      <c r="BG1508" s="4"/>
      <c r="BH1508" s="4"/>
      <c r="BI1508" s="4"/>
      <c r="BJ1508" s="4"/>
      <c r="BK1508" s="4"/>
      <c r="BL1508" s="4"/>
      <c r="BM1508" s="4"/>
      <c r="BN1508" s="4"/>
      <c r="BO1508" s="4"/>
      <c r="BP1508" s="4"/>
      <c r="BQ1508" s="4"/>
      <c r="BR1508" s="4"/>
      <c r="BS1508" s="4"/>
      <c r="BT1508" s="4"/>
      <c r="BU1508" s="4"/>
      <c r="BV1508" s="4"/>
      <c r="BW1508" s="4"/>
      <c r="BX1508" s="4"/>
      <c r="BY1508" s="4"/>
      <c r="BZ1508" s="4"/>
      <c r="CA1508" s="4"/>
      <c r="CB1508" s="4"/>
      <c r="CC1508" s="4"/>
      <c r="CD1508" s="4"/>
      <c r="CE1508" s="4"/>
      <c r="CF1508" s="4"/>
      <c r="CG1508" s="4"/>
      <c r="CH1508" s="4"/>
      <c r="CI1508" s="4"/>
      <c r="CJ1508" s="4"/>
      <c r="CK1508" s="4"/>
      <c r="CL1508" s="4"/>
      <c r="CM1508" s="4"/>
      <c r="CN1508" s="4"/>
      <c r="CO1508" s="4"/>
      <c r="CP1508" s="4"/>
      <c r="CQ1508" s="4"/>
      <c r="CR1508" s="4"/>
      <c r="CS1508" s="4"/>
      <c r="CT1508" s="4"/>
      <c r="CU1508" s="4"/>
      <c r="CV1508" s="4"/>
      <c r="CW1508" s="4"/>
      <c r="CX1508" s="4"/>
      <c r="CY1508" s="4"/>
      <c r="CZ1508" s="4"/>
      <c r="DA1508" s="4"/>
      <c r="DB1508" s="4"/>
      <c r="DC1508" s="4"/>
      <c r="DD1508" s="4"/>
      <c r="DE1508" s="4"/>
      <c r="DF1508" s="4"/>
      <c r="DG1508" s="4"/>
      <c r="DH1508" s="4"/>
      <c r="DI1508" s="4"/>
      <c r="DJ1508" s="4"/>
      <c r="DK1508" s="4"/>
      <c r="DL1508" s="4"/>
      <c r="DM1508" s="4"/>
      <c r="DN1508" s="4"/>
      <c r="DO1508" s="4"/>
      <c r="DP1508" s="4"/>
      <c r="DQ1508" s="4"/>
      <c r="DR1508" s="4"/>
    </row>
    <row r="1509" spans="1:122" x14ac:dyDescent="0.25">
      <c r="A1509" s="5" t="s">
        <v>15</v>
      </c>
      <c r="B1509" s="5" t="str">
        <f>"FES1162769391"</f>
        <v>FES1162769391</v>
      </c>
      <c r="C1509" s="5" t="s">
        <v>1084</v>
      </c>
      <c r="D1509" s="5">
        <v>1</v>
      </c>
      <c r="E1509" s="5" t="str">
        <f>"2170756907"</f>
        <v>2170756907</v>
      </c>
      <c r="F1509" s="5" t="s">
        <v>205</v>
      </c>
      <c r="G1509" s="5" t="s">
        <v>206</v>
      </c>
      <c r="H1509" s="5" t="s">
        <v>25</v>
      </c>
      <c r="I1509" s="5" t="s">
        <v>26</v>
      </c>
      <c r="J1509" s="5" t="s">
        <v>75</v>
      </c>
      <c r="K1509" s="5" t="s">
        <v>1266</v>
      </c>
      <c r="L1509" s="9">
        <v>0.3347222222222222</v>
      </c>
      <c r="M1509" s="5" t="s">
        <v>1329</v>
      </c>
      <c r="N1509" s="5" t="s">
        <v>500</v>
      </c>
      <c r="O1509" s="5"/>
      <c r="P1509" s="4"/>
      <c r="Q1509" s="4"/>
      <c r="R1509" s="4"/>
      <c r="S1509" s="4"/>
      <c r="T1509" s="4"/>
      <c r="U1509" s="4"/>
      <c r="V1509" s="4"/>
      <c r="W1509" s="4"/>
      <c r="X1509" s="4"/>
      <c r="Y1509" s="4"/>
      <c r="Z1509" s="4"/>
      <c r="AA1509" s="4"/>
      <c r="AB1509" s="4"/>
      <c r="AC1509" s="4"/>
      <c r="AD1509" s="4"/>
      <c r="AE1509" s="4"/>
      <c r="AF1509" s="4"/>
      <c r="AG1509" s="4"/>
      <c r="AH1509" s="4"/>
      <c r="AI1509" s="4"/>
      <c r="AJ1509" s="4"/>
      <c r="AK1509" s="4"/>
      <c r="AL1509" s="4"/>
      <c r="AM1509" s="4"/>
      <c r="AN1509" s="4"/>
      <c r="AO1509" s="4"/>
      <c r="AP1509" s="4"/>
      <c r="AQ1509" s="4"/>
      <c r="AR1509" s="4"/>
      <c r="AS1509" s="4"/>
      <c r="AT1509" s="4"/>
      <c r="AU1509" s="4"/>
      <c r="AV1509" s="4"/>
      <c r="AW1509" s="4"/>
      <c r="AX1509" s="4"/>
      <c r="AY1509" s="4"/>
      <c r="AZ1509" s="4"/>
      <c r="BA1509" s="4"/>
      <c r="BB1509" s="4"/>
      <c r="BC1509" s="4"/>
      <c r="BD1509" s="4"/>
      <c r="BE1509" s="4"/>
      <c r="BF1509" s="4"/>
      <c r="BG1509" s="4"/>
      <c r="BH1509" s="4"/>
      <c r="BI1509" s="4"/>
      <c r="BJ1509" s="4"/>
      <c r="BK1509" s="4"/>
      <c r="BL1509" s="4"/>
      <c r="BM1509" s="4"/>
      <c r="BN1509" s="4"/>
      <c r="BO1509" s="4"/>
      <c r="BP1509" s="4"/>
      <c r="BQ1509" s="4"/>
      <c r="BR1509" s="4"/>
      <c r="BS1509" s="4"/>
      <c r="BT1509" s="4"/>
      <c r="BU1509" s="4"/>
      <c r="BV1509" s="4"/>
      <c r="BW1509" s="4"/>
      <c r="BX1509" s="4"/>
      <c r="BY1509" s="4"/>
      <c r="BZ1509" s="4"/>
      <c r="CA1509" s="4"/>
      <c r="CB1509" s="4"/>
      <c r="CC1509" s="4"/>
      <c r="CD1509" s="4"/>
      <c r="CE1509" s="4"/>
      <c r="CF1509" s="4"/>
      <c r="CG1509" s="4"/>
      <c r="CH1509" s="4"/>
      <c r="CI1509" s="4"/>
      <c r="CJ1509" s="4"/>
      <c r="CK1509" s="4"/>
      <c r="CL1509" s="4"/>
      <c r="CM1509" s="4"/>
      <c r="CN1509" s="4"/>
      <c r="CO1509" s="4"/>
      <c r="CP1509" s="4"/>
      <c r="CQ1509" s="4"/>
      <c r="CR1509" s="4"/>
      <c r="CS1509" s="4"/>
      <c r="CT1509" s="4"/>
      <c r="CU1509" s="4"/>
      <c r="CV1509" s="4"/>
      <c r="CW1509" s="4"/>
      <c r="CX1509" s="4"/>
      <c r="CY1509" s="4"/>
      <c r="CZ1509" s="4"/>
      <c r="DA1509" s="4"/>
      <c r="DB1509" s="4"/>
      <c r="DC1509" s="4"/>
      <c r="DD1509" s="4"/>
      <c r="DE1509" s="4"/>
      <c r="DF1509" s="4"/>
      <c r="DG1509" s="4"/>
      <c r="DH1509" s="4"/>
      <c r="DI1509" s="4"/>
      <c r="DJ1509" s="4"/>
      <c r="DK1509" s="4"/>
      <c r="DL1509" s="4"/>
      <c r="DM1509" s="4"/>
      <c r="DN1509" s="4"/>
      <c r="DO1509" s="4"/>
      <c r="DP1509" s="4"/>
      <c r="DQ1509" s="4"/>
      <c r="DR1509" s="4"/>
    </row>
    <row r="1510" spans="1:122" x14ac:dyDescent="0.25">
      <c r="A1510" s="5" t="s">
        <v>15</v>
      </c>
      <c r="B1510" s="5" t="str">
        <f>"FES1162769344"</f>
        <v>FES1162769344</v>
      </c>
      <c r="C1510" s="5" t="s">
        <v>1084</v>
      </c>
      <c r="D1510" s="5">
        <v>1</v>
      </c>
      <c r="E1510" s="5" t="str">
        <f>"2170756512"</f>
        <v>2170756512</v>
      </c>
      <c r="F1510" s="5" t="s">
        <v>17</v>
      </c>
      <c r="G1510" s="5" t="s">
        <v>18</v>
      </c>
      <c r="H1510" s="5" t="s">
        <v>36</v>
      </c>
      <c r="I1510" s="5" t="s">
        <v>37</v>
      </c>
      <c r="J1510" s="5" t="s">
        <v>272</v>
      </c>
      <c r="K1510" s="5" t="s">
        <v>1190</v>
      </c>
      <c r="L1510" s="9">
        <v>0.4284722222222222</v>
      </c>
      <c r="M1510" s="5" t="s">
        <v>1267</v>
      </c>
      <c r="N1510" s="5" t="s">
        <v>500</v>
      </c>
      <c r="O1510" s="5"/>
      <c r="P1510" s="4"/>
      <c r="Q1510" s="4"/>
      <c r="R1510" s="4"/>
      <c r="S1510" s="4"/>
      <c r="T1510" s="4"/>
      <c r="U1510" s="4"/>
      <c r="V1510" s="4"/>
      <c r="W1510" s="4"/>
      <c r="X1510" s="4"/>
      <c r="Y1510" s="4"/>
      <c r="Z1510" s="4"/>
      <c r="AA1510" s="4"/>
      <c r="AB1510" s="4"/>
      <c r="AC1510" s="4"/>
      <c r="AD1510" s="4"/>
      <c r="AE1510" s="4"/>
      <c r="AF1510" s="4"/>
      <c r="AG1510" s="4"/>
      <c r="AH1510" s="4"/>
      <c r="AI1510" s="4"/>
      <c r="AJ1510" s="4"/>
      <c r="AK1510" s="4"/>
      <c r="AL1510" s="4"/>
      <c r="AM1510" s="4"/>
      <c r="AN1510" s="4"/>
      <c r="AO1510" s="4"/>
      <c r="AP1510" s="4"/>
      <c r="AQ1510" s="4"/>
      <c r="AR1510" s="4"/>
      <c r="AS1510" s="4"/>
      <c r="AT1510" s="4"/>
      <c r="AU1510" s="4"/>
      <c r="AV1510" s="4"/>
      <c r="AW1510" s="4"/>
      <c r="AX1510" s="4"/>
      <c r="AY1510" s="4"/>
      <c r="AZ1510" s="4"/>
      <c r="BA1510" s="4"/>
      <c r="BB1510" s="4"/>
      <c r="BC1510" s="4"/>
      <c r="BD1510" s="4"/>
      <c r="BE1510" s="4"/>
      <c r="BF1510" s="4"/>
      <c r="BG1510" s="4"/>
      <c r="BH1510" s="4"/>
      <c r="BI1510" s="4"/>
      <c r="BJ1510" s="4"/>
      <c r="BK1510" s="4"/>
      <c r="BL1510" s="4"/>
      <c r="BM1510" s="4"/>
      <c r="BN1510" s="4"/>
      <c r="BO1510" s="4"/>
      <c r="BP1510" s="4"/>
      <c r="BQ1510" s="4"/>
      <c r="BR1510" s="4"/>
      <c r="BS1510" s="4"/>
      <c r="BT1510" s="4"/>
      <c r="BU1510" s="4"/>
      <c r="BV1510" s="4"/>
      <c r="BW1510" s="4"/>
      <c r="BX1510" s="4"/>
      <c r="BY1510" s="4"/>
      <c r="BZ1510" s="4"/>
      <c r="CA1510" s="4"/>
      <c r="CB1510" s="4"/>
      <c r="CC1510" s="4"/>
      <c r="CD1510" s="4"/>
      <c r="CE1510" s="4"/>
      <c r="CF1510" s="4"/>
      <c r="CG1510" s="4"/>
      <c r="CH1510" s="4"/>
      <c r="CI1510" s="4"/>
      <c r="CJ1510" s="4"/>
      <c r="CK1510" s="4"/>
      <c r="CL1510" s="4"/>
      <c r="CM1510" s="4"/>
      <c r="CN1510" s="4"/>
      <c r="CO1510" s="4"/>
      <c r="CP1510" s="4"/>
      <c r="CQ1510" s="4"/>
      <c r="CR1510" s="4"/>
      <c r="CS1510" s="4"/>
      <c r="CT1510" s="4"/>
      <c r="CU1510" s="4"/>
      <c r="CV1510" s="4"/>
      <c r="CW1510" s="4"/>
      <c r="CX1510" s="4"/>
      <c r="CY1510" s="4"/>
      <c r="CZ1510" s="4"/>
      <c r="DA1510" s="4"/>
      <c r="DB1510" s="4"/>
      <c r="DC1510" s="4"/>
      <c r="DD1510" s="4"/>
      <c r="DE1510" s="4"/>
      <c r="DF1510" s="4"/>
      <c r="DG1510" s="4"/>
      <c r="DH1510" s="4"/>
      <c r="DI1510" s="4"/>
      <c r="DJ1510" s="4"/>
      <c r="DK1510" s="4"/>
      <c r="DL1510" s="4"/>
      <c r="DM1510" s="4"/>
      <c r="DN1510" s="4"/>
      <c r="DO1510" s="4"/>
      <c r="DP1510" s="4"/>
      <c r="DQ1510" s="4"/>
      <c r="DR1510" s="4"/>
    </row>
    <row r="1511" spans="1:122" s="11" customFormat="1" x14ac:dyDescent="0.25">
      <c r="A1511" s="5" t="s">
        <v>15</v>
      </c>
      <c r="B1511" s="5" t="str">
        <f>"FES1162769294"</f>
        <v>FES1162769294</v>
      </c>
      <c r="C1511" s="5" t="s">
        <v>1084</v>
      </c>
      <c r="D1511" s="5">
        <v>1</v>
      </c>
      <c r="E1511" s="5" t="str">
        <f>"2170754636"</f>
        <v>2170754636</v>
      </c>
      <c r="F1511" s="5" t="s">
        <v>17</v>
      </c>
      <c r="G1511" s="5" t="s">
        <v>18</v>
      </c>
      <c r="H1511" s="5" t="s">
        <v>36</v>
      </c>
      <c r="I1511" s="5" t="s">
        <v>1129</v>
      </c>
      <c r="J1511" s="5" t="s">
        <v>1224</v>
      </c>
      <c r="K1511" s="5" t="s">
        <v>1190</v>
      </c>
      <c r="L1511" s="9">
        <v>0.52083333333333337</v>
      </c>
      <c r="M1511" s="5" t="s">
        <v>1825</v>
      </c>
      <c r="N1511" s="5" t="s">
        <v>500</v>
      </c>
      <c r="O1511" s="5"/>
      <c r="P1511" s="4"/>
      <c r="Q1511" s="4"/>
      <c r="R1511" s="4"/>
      <c r="S1511" s="4"/>
      <c r="T1511" s="4"/>
      <c r="U1511" s="4"/>
      <c r="V1511" s="4"/>
      <c r="W1511" s="4"/>
      <c r="X1511" s="4"/>
      <c r="Y1511" s="4"/>
      <c r="Z1511" s="4"/>
      <c r="AA1511" s="4"/>
      <c r="AB1511" s="4"/>
      <c r="AC1511" s="4"/>
      <c r="AD1511" s="4"/>
      <c r="AE1511" s="4"/>
      <c r="AF1511" s="4"/>
      <c r="AG1511" s="4"/>
      <c r="AH1511" s="4"/>
      <c r="AI1511" s="4"/>
      <c r="AJ1511" s="4"/>
      <c r="AK1511" s="4"/>
      <c r="AL1511" s="4"/>
      <c r="AM1511" s="4"/>
      <c r="AN1511" s="4"/>
      <c r="AO1511" s="4"/>
      <c r="AP1511" s="4"/>
      <c r="AQ1511" s="4"/>
      <c r="AR1511" s="4"/>
      <c r="AS1511" s="4"/>
      <c r="AT1511" s="4"/>
      <c r="AU1511" s="4"/>
      <c r="AV1511" s="4"/>
      <c r="AW1511" s="4"/>
      <c r="AX1511" s="4"/>
      <c r="AY1511" s="4"/>
      <c r="AZ1511" s="4"/>
      <c r="BA1511" s="4"/>
      <c r="BB1511" s="4"/>
      <c r="BC1511" s="4"/>
      <c r="BD1511" s="4"/>
      <c r="BE1511" s="4"/>
      <c r="BF1511" s="4"/>
      <c r="BG1511" s="4"/>
      <c r="BH1511" s="4"/>
      <c r="BI1511" s="4"/>
      <c r="BJ1511" s="4"/>
      <c r="BK1511" s="4"/>
      <c r="BL1511" s="4"/>
      <c r="BM1511" s="4"/>
      <c r="BN1511" s="4"/>
      <c r="BO1511" s="4"/>
      <c r="BP1511" s="4"/>
      <c r="BQ1511" s="4"/>
      <c r="BR1511" s="4"/>
      <c r="BS1511" s="4"/>
      <c r="BT1511" s="4"/>
      <c r="BU1511" s="4"/>
      <c r="BV1511" s="4"/>
      <c r="BW1511" s="4"/>
      <c r="BX1511" s="4"/>
      <c r="BY1511" s="4"/>
      <c r="BZ1511" s="4"/>
      <c r="CA1511" s="4"/>
      <c r="CB1511" s="4"/>
      <c r="CC1511" s="4"/>
      <c r="CD1511" s="4"/>
      <c r="CE1511" s="4"/>
      <c r="CF1511" s="4"/>
      <c r="CG1511" s="4"/>
      <c r="CH1511" s="4"/>
      <c r="CI1511" s="4"/>
      <c r="CJ1511" s="4"/>
      <c r="CK1511" s="4"/>
      <c r="CL1511" s="4"/>
      <c r="CM1511" s="4"/>
      <c r="CN1511" s="4"/>
      <c r="CO1511" s="4"/>
      <c r="CP1511" s="4"/>
      <c r="CQ1511" s="4"/>
      <c r="CR1511" s="4"/>
      <c r="CS1511" s="4"/>
      <c r="CT1511" s="4"/>
      <c r="CU1511" s="4"/>
      <c r="CV1511" s="4"/>
      <c r="CW1511" s="4"/>
      <c r="CX1511" s="4"/>
      <c r="CY1511" s="4"/>
      <c r="CZ1511" s="4"/>
      <c r="DA1511" s="4"/>
      <c r="DB1511" s="4"/>
      <c r="DC1511" s="4"/>
      <c r="DD1511" s="4"/>
      <c r="DE1511" s="4"/>
      <c r="DF1511" s="4"/>
      <c r="DG1511" s="4"/>
      <c r="DH1511" s="4"/>
      <c r="DI1511" s="4"/>
      <c r="DJ1511" s="4"/>
      <c r="DK1511" s="4"/>
      <c r="DL1511" s="4"/>
      <c r="DM1511" s="4"/>
      <c r="DN1511" s="4"/>
      <c r="DO1511" s="4"/>
      <c r="DP1511" s="4"/>
      <c r="DQ1511" s="4"/>
      <c r="DR1511" s="4"/>
    </row>
    <row r="1512" spans="1:122" x14ac:dyDescent="0.25">
      <c r="A1512" s="2" t="s">
        <v>15</v>
      </c>
      <c r="B1512" s="2" t="str">
        <f>"FES1162769354"</f>
        <v>FES1162769354</v>
      </c>
      <c r="C1512" s="2" t="s">
        <v>1084</v>
      </c>
      <c r="D1512" s="2">
        <v>1</v>
      </c>
      <c r="E1512" s="2" t="str">
        <f>"2170756955"</f>
        <v>2170756955</v>
      </c>
      <c r="F1512" s="2" t="s">
        <v>17</v>
      </c>
      <c r="G1512" s="2" t="s">
        <v>18</v>
      </c>
      <c r="H1512" s="2" t="s">
        <v>33</v>
      </c>
      <c r="I1512" s="2" t="s">
        <v>34</v>
      </c>
      <c r="J1512" s="2" t="s">
        <v>152</v>
      </c>
      <c r="K1512" s="2" t="s">
        <v>1190</v>
      </c>
      <c r="L1512" s="3">
        <v>0.41319444444444442</v>
      </c>
      <c r="M1512" s="2" t="s">
        <v>523</v>
      </c>
      <c r="N1512" s="2" t="s">
        <v>500</v>
      </c>
      <c r="O1512" s="2"/>
      <c r="P1512" s="4"/>
      <c r="Q1512" s="4"/>
      <c r="R1512" s="4"/>
      <c r="S1512" s="4"/>
      <c r="T1512" s="4"/>
      <c r="U1512" s="4"/>
      <c r="V1512" s="4"/>
      <c r="W1512" s="4"/>
      <c r="X1512" s="4"/>
      <c r="Y1512" s="4"/>
      <c r="Z1512" s="4"/>
      <c r="AA1512" s="4"/>
      <c r="AB1512" s="4"/>
      <c r="AC1512" s="4"/>
      <c r="AD1512" s="4"/>
      <c r="AE1512" s="4"/>
      <c r="AF1512" s="4"/>
      <c r="AG1512" s="4"/>
      <c r="AH1512" s="4"/>
      <c r="AI1512" s="4"/>
      <c r="AJ1512" s="4"/>
      <c r="AK1512" s="4"/>
      <c r="AL1512" s="4"/>
      <c r="AM1512" s="4"/>
      <c r="AN1512" s="4"/>
      <c r="AO1512" s="4"/>
      <c r="AP1512" s="4"/>
      <c r="AQ1512" s="4"/>
      <c r="AR1512" s="4"/>
      <c r="AS1512" s="4"/>
      <c r="AT1512" s="4"/>
      <c r="AU1512" s="4"/>
      <c r="AV1512" s="4"/>
      <c r="AW1512" s="4"/>
      <c r="AX1512" s="4"/>
      <c r="AY1512" s="4"/>
      <c r="AZ1512" s="4"/>
      <c r="BA1512" s="4"/>
      <c r="BB1512" s="4"/>
      <c r="BC1512" s="4"/>
      <c r="BD1512" s="4"/>
      <c r="BE1512" s="4"/>
      <c r="BF1512" s="4"/>
      <c r="BG1512" s="4"/>
      <c r="BH1512" s="4"/>
      <c r="BI1512" s="4"/>
      <c r="BJ1512" s="4"/>
      <c r="BK1512" s="4"/>
      <c r="BL1512" s="4"/>
      <c r="BM1512" s="4"/>
      <c r="BN1512" s="4"/>
      <c r="BO1512" s="4"/>
      <c r="BP1512" s="4"/>
      <c r="BQ1512" s="4"/>
      <c r="BR1512" s="4"/>
      <c r="BS1512" s="4"/>
      <c r="BT1512" s="4"/>
      <c r="BU1512" s="4"/>
      <c r="BV1512" s="4"/>
      <c r="BW1512" s="4"/>
      <c r="BX1512" s="4"/>
      <c r="BY1512" s="4"/>
      <c r="BZ1512" s="4"/>
      <c r="CA1512" s="4"/>
      <c r="CB1512" s="4"/>
      <c r="CC1512" s="4"/>
      <c r="CD1512" s="4"/>
      <c r="CE1512" s="4"/>
      <c r="CF1512" s="4"/>
      <c r="CG1512" s="4"/>
      <c r="CH1512" s="4"/>
      <c r="CI1512" s="4"/>
      <c r="CJ1512" s="4"/>
      <c r="CK1512" s="4"/>
      <c r="CL1512" s="4"/>
      <c r="CM1512" s="4"/>
      <c r="CN1512" s="4"/>
      <c r="CO1512" s="4"/>
      <c r="CP1512" s="4"/>
      <c r="CQ1512" s="4"/>
      <c r="CR1512" s="4"/>
      <c r="CS1512" s="4"/>
      <c r="CT1512" s="4"/>
      <c r="CU1512" s="4"/>
      <c r="CV1512" s="4"/>
      <c r="CW1512" s="4"/>
      <c r="CX1512" s="4"/>
      <c r="CY1512" s="4"/>
      <c r="CZ1512" s="4"/>
      <c r="DA1512" s="4"/>
      <c r="DB1512" s="4"/>
      <c r="DC1512" s="4"/>
      <c r="DD1512" s="4"/>
      <c r="DE1512" s="4"/>
      <c r="DF1512" s="4"/>
      <c r="DG1512" s="4"/>
      <c r="DH1512" s="4"/>
      <c r="DI1512" s="4"/>
      <c r="DJ1512" s="4"/>
      <c r="DK1512" s="4"/>
      <c r="DL1512" s="4"/>
      <c r="DM1512" s="4"/>
      <c r="DN1512" s="4"/>
      <c r="DO1512" s="4"/>
      <c r="DP1512" s="4"/>
      <c r="DQ1512" s="4"/>
      <c r="DR1512" s="4"/>
    </row>
    <row r="1513" spans="1:122" x14ac:dyDescent="0.25">
      <c r="A1513" s="2" t="s">
        <v>15</v>
      </c>
      <c r="B1513" s="2" t="str">
        <f>"FES1162769298"</f>
        <v>FES1162769298</v>
      </c>
      <c r="C1513" s="2" t="s">
        <v>1084</v>
      </c>
      <c r="D1513" s="2">
        <v>1</v>
      </c>
      <c r="E1513" s="2" t="str">
        <f>"2170754667"</f>
        <v>2170754667</v>
      </c>
      <c r="F1513" s="2" t="s">
        <v>17</v>
      </c>
      <c r="G1513" s="2" t="s">
        <v>18</v>
      </c>
      <c r="H1513" s="2" t="s">
        <v>36</v>
      </c>
      <c r="I1513" s="2" t="s">
        <v>37</v>
      </c>
      <c r="J1513" s="2" t="s">
        <v>272</v>
      </c>
      <c r="K1513" s="2" t="s">
        <v>1190</v>
      </c>
      <c r="L1513" s="3">
        <v>0.41666666666666669</v>
      </c>
      <c r="M1513" s="2" t="s">
        <v>538</v>
      </c>
      <c r="N1513" s="2" t="s">
        <v>500</v>
      </c>
      <c r="O1513" s="2"/>
      <c r="P1513" s="4"/>
      <c r="Q1513" s="4"/>
      <c r="R1513" s="4"/>
      <c r="S1513" s="4"/>
      <c r="T1513" s="4"/>
      <c r="U1513" s="4"/>
      <c r="V1513" s="4"/>
      <c r="W1513" s="4"/>
      <c r="X1513" s="4"/>
      <c r="Y1513" s="4"/>
      <c r="Z1513" s="4"/>
      <c r="AA1513" s="4"/>
      <c r="AB1513" s="4"/>
      <c r="AC1513" s="4"/>
      <c r="AD1513" s="4"/>
      <c r="AE1513" s="4"/>
      <c r="AF1513" s="4"/>
      <c r="AG1513" s="4"/>
      <c r="AH1513" s="4"/>
      <c r="AI1513" s="4"/>
      <c r="AJ1513" s="4"/>
      <c r="AK1513" s="4"/>
      <c r="AL1513" s="4"/>
      <c r="AM1513" s="4"/>
      <c r="AN1513" s="4"/>
      <c r="AO1513" s="4"/>
      <c r="AP1513" s="4"/>
      <c r="AQ1513" s="4"/>
      <c r="AR1513" s="4"/>
      <c r="AS1513" s="4"/>
      <c r="AT1513" s="4"/>
      <c r="AU1513" s="4"/>
      <c r="AV1513" s="4"/>
      <c r="AW1513" s="4"/>
      <c r="AX1513" s="4"/>
      <c r="AY1513" s="4"/>
      <c r="AZ1513" s="4"/>
      <c r="BA1513" s="4"/>
      <c r="BB1513" s="4"/>
      <c r="BC1513" s="4"/>
      <c r="BD1513" s="4"/>
      <c r="BE1513" s="4"/>
      <c r="BF1513" s="4"/>
      <c r="BG1513" s="4"/>
      <c r="BH1513" s="4"/>
      <c r="BI1513" s="4"/>
      <c r="BJ1513" s="4"/>
      <c r="BK1513" s="4"/>
      <c r="BL1513" s="4"/>
      <c r="BM1513" s="4"/>
      <c r="BN1513" s="4"/>
      <c r="BO1513" s="4"/>
      <c r="BP1513" s="4"/>
      <c r="BQ1513" s="4"/>
      <c r="BR1513" s="4"/>
      <c r="BS1513" s="4"/>
      <c r="BT1513" s="4"/>
      <c r="BU1513" s="4"/>
      <c r="BV1513" s="4"/>
      <c r="BW1513" s="4"/>
      <c r="BX1513" s="4"/>
      <c r="BY1513" s="4"/>
      <c r="BZ1513" s="4"/>
      <c r="CA1513" s="4"/>
      <c r="CB1513" s="4"/>
      <c r="CC1513" s="4"/>
      <c r="CD1513" s="4"/>
      <c r="CE1513" s="4"/>
      <c r="CF1513" s="4"/>
      <c r="CG1513" s="4"/>
      <c r="CH1513" s="4"/>
      <c r="CI1513" s="4"/>
      <c r="CJ1513" s="4"/>
      <c r="CK1513" s="4"/>
      <c r="CL1513" s="4"/>
      <c r="CM1513" s="4"/>
      <c r="CN1513" s="4"/>
      <c r="CO1513" s="4"/>
      <c r="CP1513" s="4"/>
      <c r="CQ1513" s="4"/>
      <c r="CR1513" s="4"/>
      <c r="CS1513" s="4"/>
      <c r="CT1513" s="4"/>
      <c r="CU1513" s="4"/>
      <c r="CV1513" s="4"/>
      <c r="CW1513" s="4"/>
      <c r="CX1513" s="4"/>
      <c r="CY1513" s="4"/>
      <c r="CZ1513" s="4"/>
      <c r="DA1513" s="4"/>
      <c r="DB1513" s="4"/>
      <c r="DC1513" s="4"/>
      <c r="DD1513" s="4"/>
      <c r="DE1513" s="4"/>
      <c r="DF1513" s="4"/>
      <c r="DG1513" s="4"/>
      <c r="DH1513" s="4"/>
      <c r="DI1513" s="4"/>
      <c r="DJ1513" s="4"/>
      <c r="DK1513" s="4"/>
      <c r="DL1513" s="4"/>
      <c r="DM1513" s="4"/>
      <c r="DN1513" s="4"/>
      <c r="DO1513" s="4"/>
      <c r="DP1513" s="4"/>
      <c r="DQ1513" s="4"/>
      <c r="DR1513" s="4"/>
    </row>
    <row r="1514" spans="1:122" x14ac:dyDescent="0.25">
      <c r="A1514" s="2" t="s">
        <v>15</v>
      </c>
      <c r="B1514" s="2" t="str">
        <f>"FES1162769363"</f>
        <v>FES1162769363</v>
      </c>
      <c r="C1514" s="2" t="s">
        <v>1084</v>
      </c>
      <c r="D1514" s="2">
        <v>1</v>
      </c>
      <c r="E1514" s="2" t="str">
        <f>"2170755050"</f>
        <v>2170755050</v>
      </c>
      <c r="F1514" s="2" t="s">
        <v>17</v>
      </c>
      <c r="G1514" s="2" t="s">
        <v>18</v>
      </c>
      <c r="H1514" s="2" t="s">
        <v>25</v>
      </c>
      <c r="I1514" s="2" t="s">
        <v>26</v>
      </c>
      <c r="J1514" s="2" t="s">
        <v>1225</v>
      </c>
      <c r="K1514" s="2" t="s">
        <v>1190</v>
      </c>
      <c r="L1514" s="3">
        <v>0.3888888888888889</v>
      </c>
      <c r="M1514" s="2" t="s">
        <v>1268</v>
      </c>
      <c r="N1514" s="2" t="s">
        <v>500</v>
      </c>
      <c r="O1514" s="2"/>
      <c r="P1514" s="4"/>
      <c r="Q1514" s="4"/>
      <c r="R1514" s="4"/>
      <c r="S1514" s="4"/>
      <c r="T1514" s="4"/>
      <c r="U1514" s="4"/>
      <c r="V1514" s="4"/>
      <c r="W1514" s="4"/>
      <c r="X1514" s="4"/>
      <c r="Y1514" s="4"/>
      <c r="Z1514" s="4"/>
      <c r="AA1514" s="4"/>
      <c r="AB1514" s="4"/>
      <c r="AC1514" s="4"/>
      <c r="AD1514" s="4"/>
      <c r="AE1514" s="4"/>
      <c r="AF1514" s="4"/>
      <c r="AG1514" s="4"/>
      <c r="AH1514" s="4"/>
      <c r="AI1514" s="4"/>
      <c r="AJ1514" s="4"/>
      <c r="AK1514" s="4"/>
      <c r="AL1514" s="4"/>
      <c r="AM1514" s="4"/>
      <c r="AN1514" s="4"/>
      <c r="AO1514" s="4"/>
      <c r="AP1514" s="4"/>
      <c r="AQ1514" s="4"/>
      <c r="AR1514" s="4"/>
      <c r="AS1514" s="4"/>
      <c r="AT1514" s="4"/>
      <c r="AU1514" s="4"/>
      <c r="AV1514" s="4"/>
      <c r="AW1514" s="4"/>
      <c r="AX1514" s="4"/>
      <c r="AY1514" s="4"/>
      <c r="AZ1514" s="4"/>
      <c r="BA1514" s="4"/>
      <c r="BB1514" s="4"/>
      <c r="BC1514" s="4"/>
      <c r="BD1514" s="4"/>
      <c r="BE1514" s="4"/>
      <c r="BF1514" s="4"/>
      <c r="BG1514" s="4"/>
      <c r="BH1514" s="4"/>
      <c r="BI1514" s="4"/>
      <c r="BJ1514" s="4"/>
      <c r="BK1514" s="4"/>
      <c r="BL1514" s="4"/>
      <c r="BM1514" s="4"/>
      <c r="BN1514" s="4"/>
      <c r="BO1514" s="4"/>
      <c r="BP1514" s="4"/>
      <c r="BQ1514" s="4"/>
      <c r="BR1514" s="4"/>
      <c r="BS1514" s="4"/>
      <c r="BT1514" s="4"/>
      <c r="BU1514" s="4"/>
      <c r="BV1514" s="4"/>
      <c r="BW1514" s="4"/>
      <c r="BX1514" s="4"/>
      <c r="BY1514" s="4"/>
      <c r="BZ1514" s="4"/>
      <c r="CA1514" s="4"/>
      <c r="CB1514" s="4"/>
      <c r="CC1514" s="4"/>
      <c r="CD1514" s="4"/>
      <c r="CE1514" s="4"/>
      <c r="CF1514" s="4"/>
      <c r="CG1514" s="4"/>
      <c r="CH1514" s="4"/>
      <c r="CI1514" s="4"/>
      <c r="CJ1514" s="4"/>
      <c r="CK1514" s="4"/>
      <c r="CL1514" s="4"/>
      <c r="CM1514" s="4"/>
      <c r="CN1514" s="4"/>
      <c r="CO1514" s="4"/>
      <c r="CP1514" s="4"/>
      <c r="CQ1514" s="4"/>
      <c r="CR1514" s="4"/>
      <c r="CS1514" s="4"/>
      <c r="CT1514" s="4"/>
      <c r="CU1514" s="4"/>
      <c r="CV1514" s="4"/>
      <c r="CW1514" s="4"/>
      <c r="CX1514" s="4"/>
      <c r="CY1514" s="4"/>
      <c r="CZ1514" s="4"/>
      <c r="DA1514" s="4"/>
      <c r="DB1514" s="4"/>
      <c r="DC1514" s="4"/>
      <c r="DD1514" s="4"/>
      <c r="DE1514" s="4"/>
      <c r="DF1514" s="4"/>
      <c r="DG1514" s="4"/>
      <c r="DH1514" s="4"/>
      <c r="DI1514" s="4"/>
      <c r="DJ1514" s="4"/>
      <c r="DK1514" s="4"/>
      <c r="DL1514" s="4"/>
      <c r="DM1514" s="4"/>
      <c r="DN1514" s="4"/>
      <c r="DO1514" s="4"/>
      <c r="DP1514" s="4"/>
      <c r="DQ1514" s="4"/>
      <c r="DR1514" s="4"/>
    </row>
    <row r="1515" spans="1:122" x14ac:dyDescent="0.25">
      <c r="A1515" s="2" t="s">
        <v>15</v>
      </c>
      <c r="B1515" s="2" t="str">
        <f>"FES1162769369"</f>
        <v>FES1162769369</v>
      </c>
      <c r="C1515" s="2" t="s">
        <v>1084</v>
      </c>
      <c r="D1515" s="2">
        <v>1</v>
      </c>
      <c r="E1515" s="2" t="str">
        <f>"2170755477"</f>
        <v>2170755477</v>
      </c>
      <c r="F1515" s="2" t="s">
        <v>17</v>
      </c>
      <c r="G1515" s="2" t="s">
        <v>18</v>
      </c>
      <c r="H1515" s="2" t="s">
        <v>30</v>
      </c>
      <c r="I1515" s="2" t="s">
        <v>444</v>
      </c>
      <c r="J1515" s="2" t="s">
        <v>445</v>
      </c>
      <c r="K1515" s="2" t="s">
        <v>1190</v>
      </c>
      <c r="L1515" s="3">
        <v>0.5</v>
      </c>
      <c r="M1515" s="2" t="s">
        <v>552</v>
      </c>
      <c r="N1515" s="2" t="s">
        <v>500</v>
      </c>
      <c r="O1515" s="2"/>
      <c r="P1515" s="4"/>
      <c r="Q1515" s="4"/>
      <c r="R1515" s="4"/>
      <c r="S1515" s="4"/>
      <c r="T1515" s="4"/>
      <c r="U1515" s="4"/>
      <c r="V1515" s="4"/>
      <c r="W1515" s="4"/>
      <c r="X1515" s="4"/>
      <c r="Y1515" s="4"/>
      <c r="Z1515" s="4"/>
      <c r="AA1515" s="4"/>
      <c r="AB1515" s="4"/>
      <c r="AC1515" s="4"/>
      <c r="AD1515" s="4"/>
      <c r="AE1515" s="4"/>
      <c r="AF1515" s="4"/>
      <c r="AG1515" s="4"/>
      <c r="AH1515" s="4"/>
      <c r="AI1515" s="4"/>
      <c r="AJ1515" s="4"/>
      <c r="AK1515" s="4"/>
      <c r="AL1515" s="4"/>
      <c r="AM1515" s="4"/>
      <c r="AN1515" s="4"/>
      <c r="AO1515" s="4"/>
      <c r="AP1515" s="4"/>
      <c r="AQ1515" s="4"/>
      <c r="AR1515" s="4"/>
      <c r="AS1515" s="4"/>
      <c r="AT1515" s="4"/>
      <c r="AU1515" s="4"/>
      <c r="AV1515" s="4"/>
      <c r="AW1515" s="4"/>
      <c r="AX1515" s="4"/>
      <c r="AY1515" s="4"/>
      <c r="AZ1515" s="4"/>
      <c r="BA1515" s="4"/>
      <c r="BB1515" s="4"/>
      <c r="BC1515" s="4"/>
      <c r="BD1515" s="4"/>
      <c r="BE1515" s="4"/>
      <c r="BF1515" s="4"/>
      <c r="BG1515" s="4"/>
      <c r="BH1515" s="4"/>
      <c r="BI1515" s="4"/>
      <c r="BJ1515" s="4"/>
      <c r="BK1515" s="4"/>
      <c r="BL1515" s="4"/>
      <c r="BM1515" s="4"/>
      <c r="BN1515" s="4"/>
      <c r="BO1515" s="4"/>
      <c r="BP1515" s="4"/>
      <c r="BQ1515" s="4"/>
      <c r="BR1515" s="4"/>
      <c r="BS1515" s="4"/>
      <c r="BT1515" s="4"/>
      <c r="BU1515" s="4"/>
      <c r="BV1515" s="4"/>
      <c r="BW1515" s="4"/>
      <c r="BX1515" s="4"/>
      <c r="BY1515" s="4"/>
      <c r="BZ1515" s="4"/>
      <c r="CA1515" s="4"/>
      <c r="CB1515" s="4"/>
      <c r="CC1515" s="4"/>
      <c r="CD1515" s="4"/>
      <c r="CE1515" s="4"/>
      <c r="CF1515" s="4"/>
      <c r="CG1515" s="4"/>
      <c r="CH1515" s="4"/>
      <c r="CI1515" s="4"/>
      <c r="CJ1515" s="4"/>
      <c r="CK1515" s="4"/>
      <c r="CL1515" s="4"/>
      <c r="CM1515" s="4"/>
      <c r="CN1515" s="4"/>
      <c r="CO1515" s="4"/>
      <c r="CP1515" s="4"/>
      <c r="CQ1515" s="4"/>
      <c r="CR1515" s="4"/>
      <c r="CS1515" s="4"/>
      <c r="CT1515" s="4"/>
      <c r="CU1515" s="4"/>
      <c r="CV1515" s="4"/>
      <c r="CW1515" s="4"/>
      <c r="CX1515" s="4"/>
      <c r="CY1515" s="4"/>
      <c r="CZ1515" s="4"/>
      <c r="DA1515" s="4"/>
      <c r="DB1515" s="4"/>
      <c r="DC1515" s="4"/>
      <c r="DD1515" s="4"/>
      <c r="DE1515" s="4"/>
      <c r="DF1515" s="4"/>
      <c r="DG1515" s="4"/>
      <c r="DH1515" s="4"/>
      <c r="DI1515" s="4"/>
      <c r="DJ1515" s="4"/>
      <c r="DK1515" s="4"/>
      <c r="DL1515" s="4"/>
      <c r="DM1515" s="4"/>
      <c r="DN1515" s="4"/>
      <c r="DO1515" s="4"/>
      <c r="DP1515" s="4"/>
      <c r="DQ1515" s="4"/>
      <c r="DR1515" s="4"/>
    </row>
    <row r="1516" spans="1:122" x14ac:dyDescent="0.25">
      <c r="A1516" s="2" t="s">
        <v>15</v>
      </c>
      <c r="B1516" s="2" t="str">
        <f>"FES1162769393"</f>
        <v>FES1162769393</v>
      </c>
      <c r="C1516" s="2" t="s">
        <v>1084</v>
      </c>
      <c r="D1516" s="2">
        <v>1</v>
      </c>
      <c r="E1516" s="2" t="str">
        <f>"2170756864"</f>
        <v>2170756864</v>
      </c>
      <c r="F1516" s="2" t="s">
        <v>17</v>
      </c>
      <c r="G1516" s="2" t="s">
        <v>18</v>
      </c>
      <c r="H1516" s="2" t="s">
        <v>25</v>
      </c>
      <c r="I1516" s="2" t="s">
        <v>26</v>
      </c>
      <c r="J1516" s="2" t="s">
        <v>622</v>
      </c>
      <c r="K1516" s="2" t="s">
        <v>1190</v>
      </c>
      <c r="L1516" s="3">
        <v>0.38472222222222219</v>
      </c>
      <c r="M1516" s="2" t="s">
        <v>1157</v>
      </c>
      <c r="N1516" s="2" t="s">
        <v>500</v>
      </c>
      <c r="O1516" s="2"/>
      <c r="P1516" s="4"/>
      <c r="Q1516" s="4"/>
      <c r="R1516" s="4"/>
      <c r="S1516" s="4"/>
      <c r="T1516" s="4"/>
      <c r="U1516" s="4"/>
      <c r="V1516" s="4"/>
      <c r="W1516" s="4"/>
      <c r="X1516" s="4"/>
      <c r="Y1516" s="4"/>
      <c r="Z1516" s="4"/>
      <c r="AA1516" s="4"/>
      <c r="AB1516" s="4"/>
      <c r="AC1516" s="4"/>
      <c r="AD1516" s="4"/>
      <c r="AE1516" s="4"/>
      <c r="AF1516" s="4"/>
      <c r="AG1516" s="4"/>
      <c r="AH1516" s="4"/>
      <c r="AI1516" s="4"/>
      <c r="AJ1516" s="4"/>
      <c r="AK1516" s="4"/>
      <c r="AL1516" s="4"/>
      <c r="AM1516" s="4"/>
      <c r="AN1516" s="4"/>
      <c r="AO1516" s="4"/>
      <c r="AP1516" s="4"/>
      <c r="AQ1516" s="4"/>
      <c r="AR1516" s="4"/>
      <c r="AS1516" s="4"/>
      <c r="AT1516" s="4"/>
      <c r="AU1516" s="4"/>
      <c r="AV1516" s="4"/>
      <c r="AW1516" s="4"/>
      <c r="AX1516" s="4"/>
      <c r="AY1516" s="4"/>
      <c r="AZ1516" s="4"/>
      <c r="BA1516" s="4"/>
      <c r="BB1516" s="4"/>
      <c r="BC1516" s="4"/>
      <c r="BD1516" s="4"/>
      <c r="BE1516" s="4"/>
      <c r="BF1516" s="4"/>
      <c r="BG1516" s="4"/>
      <c r="BH1516" s="4"/>
      <c r="BI1516" s="4"/>
      <c r="BJ1516" s="4"/>
      <c r="BK1516" s="4"/>
      <c r="BL1516" s="4"/>
      <c r="BM1516" s="4"/>
      <c r="BN1516" s="4"/>
      <c r="BO1516" s="4"/>
      <c r="BP1516" s="4"/>
      <c r="BQ1516" s="4"/>
      <c r="BR1516" s="4"/>
      <c r="BS1516" s="4"/>
      <c r="BT1516" s="4"/>
      <c r="BU1516" s="4"/>
      <c r="BV1516" s="4"/>
      <c r="BW1516" s="4"/>
      <c r="BX1516" s="4"/>
      <c r="BY1516" s="4"/>
      <c r="BZ1516" s="4"/>
      <c r="CA1516" s="4"/>
      <c r="CB1516" s="4"/>
      <c r="CC1516" s="4"/>
      <c r="CD1516" s="4"/>
      <c r="CE1516" s="4"/>
      <c r="CF1516" s="4"/>
      <c r="CG1516" s="4"/>
      <c r="CH1516" s="4"/>
      <c r="CI1516" s="4"/>
      <c r="CJ1516" s="4"/>
      <c r="CK1516" s="4"/>
      <c r="CL1516" s="4"/>
      <c r="CM1516" s="4"/>
      <c r="CN1516" s="4"/>
      <c r="CO1516" s="4"/>
      <c r="CP1516" s="4"/>
      <c r="CQ1516" s="4"/>
      <c r="CR1516" s="4"/>
      <c r="CS1516" s="4"/>
      <c r="CT1516" s="4"/>
      <c r="CU1516" s="4"/>
      <c r="CV1516" s="4"/>
      <c r="CW1516" s="4"/>
      <c r="CX1516" s="4"/>
      <c r="CY1516" s="4"/>
      <c r="CZ1516" s="4"/>
      <c r="DA1516" s="4"/>
      <c r="DB1516" s="4"/>
      <c r="DC1516" s="4"/>
      <c r="DD1516" s="4"/>
      <c r="DE1516" s="4"/>
      <c r="DF1516" s="4"/>
      <c r="DG1516" s="4"/>
      <c r="DH1516" s="4"/>
      <c r="DI1516" s="4"/>
      <c r="DJ1516" s="4"/>
      <c r="DK1516" s="4"/>
      <c r="DL1516" s="4"/>
      <c r="DM1516" s="4"/>
      <c r="DN1516" s="4"/>
      <c r="DO1516" s="4"/>
      <c r="DP1516" s="4"/>
      <c r="DQ1516" s="4"/>
      <c r="DR1516" s="4"/>
    </row>
    <row r="1517" spans="1:122" x14ac:dyDescent="0.25">
      <c r="A1517" s="2" t="s">
        <v>15</v>
      </c>
      <c r="B1517" s="2" t="str">
        <f>"FES1162769357"</f>
        <v>FES1162769357</v>
      </c>
      <c r="C1517" s="2" t="s">
        <v>1084</v>
      </c>
      <c r="D1517" s="2">
        <v>1</v>
      </c>
      <c r="E1517" s="2" t="str">
        <f>"2170756779"</f>
        <v>2170756779</v>
      </c>
      <c r="F1517" s="2" t="s">
        <v>17</v>
      </c>
      <c r="G1517" s="2" t="s">
        <v>18</v>
      </c>
      <c r="H1517" s="2" t="s">
        <v>19</v>
      </c>
      <c r="I1517" s="2" t="s">
        <v>73</v>
      </c>
      <c r="J1517" s="2" t="s">
        <v>1226</v>
      </c>
      <c r="K1517" s="2" t="s">
        <v>1190</v>
      </c>
      <c r="L1517" s="3">
        <v>0.3666666666666667</v>
      </c>
      <c r="M1517" s="2" t="s">
        <v>934</v>
      </c>
      <c r="N1517" s="2" t="s">
        <v>500</v>
      </c>
      <c r="O1517" s="2"/>
      <c r="P1517" s="4"/>
      <c r="Q1517" s="4"/>
      <c r="R1517" s="4"/>
      <c r="S1517" s="4"/>
      <c r="T1517" s="4"/>
      <c r="U1517" s="4"/>
      <c r="V1517" s="4"/>
      <c r="W1517" s="4"/>
      <c r="X1517" s="4"/>
      <c r="Y1517" s="4"/>
      <c r="Z1517" s="4"/>
      <c r="AA1517" s="4"/>
      <c r="AB1517" s="4"/>
      <c r="AC1517" s="4"/>
      <c r="AD1517" s="4"/>
      <c r="AE1517" s="4"/>
      <c r="AF1517" s="4"/>
      <c r="AG1517" s="4"/>
      <c r="AH1517" s="4"/>
      <c r="AI1517" s="4"/>
      <c r="AJ1517" s="4"/>
      <c r="AK1517" s="4"/>
      <c r="AL1517" s="4"/>
      <c r="AM1517" s="4"/>
      <c r="AN1517" s="4"/>
      <c r="AO1517" s="4"/>
      <c r="AP1517" s="4"/>
      <c r="AQ1517" s="4"/>
      <c r="AR1517" s="4"/>
      <c r="AS1517" s="4"/>
      <c r="AT1517" s="4"/>
      <c r="AU1517" s="4"/>
      <c r="AV1517" s="4"/>
      <c r="AW1517" s="4"/>
      <c r="AX1517" s="4"/>
      <c r="AY1517" s="4"/>
      <c r="AZ1517" s="4"/>
      <c r="BA1517" s="4"/>
      <c r="BB1517" s="4"/>
      <c r="BC1517" s="4"/>
      <c r="BD1517" s="4"/>
      <c r="BE1517" s="4"/>
      <c r="BF1517" s="4"/>
      <c r="BG1517" s="4"/>
      <c r="BH1517" s="4"/>
      <c r="BI1517" s="4"/>
      <c r="BJ1517" s="4"/>
      <c r="BK1517" s="4"/>
      <c r="BL1517" s="4"/>
      <c r="BM1517" s="4"/>
      <c r="BN1517" s="4"/>
      <c r="BO1517" s="4"/>
      <c r="BP1517" s="4"/>
      <c r="BQ1517" s="4"/>
      <c r="BR1517" s="4"/>
      <c r="BS1517" s="4"/>
      <c r="BT1517" s="4"/>
      <c r="BU1517" s="4"/>
      <c r="BV1517" s="4"/>
      <c r="BW1517" s="4"/>
      <c r="BX1517" s="4"/>
      <c r="BY1517" s="4"/>
      <c r="BZ1517" s="4"/>
      <c r="CA1517" s="4"/>
      <c r="CB1517" s="4"/>
      <c r="CC1517" s="4"/>
      <c r="CD1517" s="4"/>
      <c r="CE1517" s="4"/>
      <c r="CF1517" s="4"/>
      <c r="CG1517" s="4"/>
      <c r="CH1517" s="4"/>
      <c r="CI1517" s="4"/>
      <c r="CJ1517" s="4"/>
      <c r="CK1517" s="4"/>
      <c r="CL1517" s="4"/>
      <c r="CM1517" s="4"/>
      <c r="CN1517" s="4"/>
      <c r="CO1517" s="4"/>
      <c r="CP1517" s="4"/>
      <c r="CQ1517" s="4"/>
      <c r="CR1517" s="4"/>
      <c r="CS1517" s="4"/>
      <c r="CT1517" s="4"/>
      <c r="CU1517" s="4"/>
      <c r="CV1517" s="4"/>
      <c r="CW1517" s="4"/>
      <c r="CX1517" s="4"/>
      <c r="CY1517" s="4"/>
      <c r="CZ1517" s="4"/>
      <c r="DA1517" s="4"/>
      <c r="DB1517" s="4"/>
      <c r="DC1517" s="4"/>
      <c r="DD1517" s="4"/>
      <c r="DE1517" s="4"/>
      <c r="DF1517" s="4"/>
      <c r="DG1517" s="4"/>
      <c r="DH1517" s="4"/>
      <c r="DI1517" s="4"/>
      <c r="DJ1517" s="4"/>
      <c r="DK1517" s="4"/>
      <c r="DL1517" s="4"/>
      <c r="DM1517" s="4"/>
      <c r="DN1517" s="4"/>
      <c r="DO1517" s="4"/>
      <c r="DP1517" s="4"/>
      <c r="DQ1517" s="4"/>
      <c r="DR1517" s="4"/>
    </row>
    <row r="1518" spans="1:122" x14ac:dyDescent="0.25">
      <c r="A1518" s="2" t="s">
        <v>15</v>
      </c>
      <c r="B1518" s="2" t="str">
        <f>"FES1162769401"</f>
        <v>FES1162769401</v>
      </c>
      <c r="C1518" s="2" t="s">
        <v>1084</v>
      </c>
      <c r="D1518" s="2">
        <v>1</v>
      </c>
      <c r="E1518" s="2" t="str">
        <f>"2170756598"</f>
        <v>2170756598</v>
      </c>
      <c r="F1518" s="2" t="s">
        <v>17</v>
      </c>
      <c r="G1518" s="2" t="s">
        <v>18</v>
      </c>
      <c r="H1518" s="2" t="s">
        <v>25</v>
      </c>
      <c r="I1518" s="2" t="s">
        <v>26</v>
      </c>
      <c r="J1518" s="2" t="s">
        <v>75</v>
      </c>
      <c r="K1518" s="2" t="s">
        <v>1190</v>
      </c>
      <c r="L1518" s="3">
        <v>0.36458333333333331</v>
      </c>
      <c r="M1518" s="2" t="s">
        <v>677</v>
      </c>
      <c r="N1518" s="2" t="s">
        <v>500</v>
      </c>
      <c r="O1518" s="2"/>
      <c r="P1518" s="4"/>
      <c r="Q1518" s="4"/>
      <c r="R1518" s="4"/>
      <c r="S1518" s="4"/>
      <c r="T1518" s="4"/>
      <c r="U1518" s="4"/>
      <c r="V1518" s="4"/>
      <c r="W1518" s="4"/>
      <c r="X1518" s="4"/>
      <c r="Y1518" s="4"/>
      <c r="Z1518" s="4"/>
      <c r="AA1518" s="4"/>
      <c r="AB1518" s="4"/>
      <c r="AC1518" s="4"/>
      <c r="AD1518" s="4"/>
      <c r="AE1518" s="4"/>
      <c r="AF1518" s="4"/>
      <c r="AG1518" s="4"/>
      <c r="AH1518" s="4"/>
      <c r="AI1518" s="4"/>
      <c r="AJ1518" s="4"/>
      <c r="AK1518" s="4"/>
      <c r="AL1518" s="4"/>
      <c r="AM1518" s="4"/>
      <c r="AN1518" s="4"/>
      <c r="AO1518" s="4"/>
      <c r="AP1518" s="4"/>
      <c r="AQ1518" s="4"/>
      <c r="AR1518" s="4"/>
      <c r="AS1518" s="4"/>
      <c r="AT1518" s="4"/>
      <c r="AU1518" s="4"/>
      <c r="AV1518" s="4"/>
      <c r="AW1518" s="4"/>
      <c r="AX1518" s="4"/>
      <c r="AY1518" s="4"/>
      <c r="AZ1518" s="4"/>
      <c r="BA1518" s="4"/>
      <c r="BB1518" s="4"/>
      <c r="BC1518" s="4"/>
      <c r="BD1518" s="4"/>
      <c r="BE1518" s="4"/>
      <c r="BF1518" s="4"/>
      <c r="BG1518" s="4"/>
      <c r="BH1518" s="4"/>
      <c r="BI1518" s="4"/>
      <c r="BJ1518" s="4"/>
      <c r="BK1518" s="4"/>
      <c r="BL1518" s="4"/>
      <c r="BM1518" s="4"/>
      <c r="BN1518" s="4"/>
      <c r="BO1518" s="4"/>
      <c r="BP1518" s="4"/>
      <c r="BQ1518" s="4"/>
      <c r="BR1518" s="4"/>
      <c r="BS1518" s="4"/>
      <c r="BT1518" s="4"/>
      <c r="BU1518" s="4"/>
      <c r="BV1518" s="4"/>
      <c r="BW1518" s="4"/>
      <c r="BX1518" s="4"/>
      <c r="BY1518" s="4"/>
      <c r="BZ1518" s="4"/>
      <c r="CA1518" s="4"/>
      <c r="CB1518" s="4"/>
      <c r="CC1518" s="4"/>
      <c r="CD1518" s="4"/>
      <c r="CE1518" s="4"/>
      <c r="CF1518" s="4"/>
      <c r="CG1518" s="4"/>
      <c r="CH1518" s="4"/>
      <c r="CI1518" s="4"/>
      <c r="CJ1518" s="4"/>
      <c r="CK1518" s="4"/>
      <c r="CL1518" s="4"/>
      <c r="CM1518" s="4"/>
      <c r="CN1518" s="4"/>
      <c r="CO1518" s="4"/>
      <c r="CP1518" s="4"/>
      <c r="CQ1518" s="4"/>
      <c r="CR1518" s="4"/>
      <c r="CS1518" s="4"/>
      <c r="CT1518" s="4"/>
      <c r="CU1518" s="4"/>
      <c r="CV1518" s="4"/>
      <c r="CW1518" s="4"/>
      <c r="CX1518" s="4"/>
      <c r="CY1518" s="4"/>
      <c r="CZ1518" s="4"/>
      <c r="DA1518" s="4"/>
      <c r="DB1518" s="4"/>
      <c r="DC1518" s="4"/>
      <c r="DD1518" s="4"/>
      <c r="DE1518" s="4"/>
      <c r="DF1518" s="4"/>
      <c r="DG1518" s="4"/>
      <c r="DH1518" s="4"/>
      <c r="DI1518" s="4"/>
      <c r="DJ1518" s="4"/>
      <c r="DK1518" s="4"/>
      <c r="DL1518" s="4"/>
      <c r="DM1518" s="4"/>
      <c r="DN1518" s="4"/>
      <c r="DO1518" s="4"/>
      <c r="DP1518" s="4"/>
      <c r="DQ1518" s="4"/>
      <c r="DR1518" s="4"/>
    </row>
    <row r="1519" spans="1:122" x14ac:dyDescent="0.25">
      <c r="A1519" s="2" t="s">
        <v>15</v>
      </c>
      <c r="B1519" s="2" t="str">
        <f>"FES1162768967"</f>
        <v>FES1162768967</v>
      </c>
      <c r="C1519" s="2" t="s">
        <v>1084</v>
      </c>
      <c r="D1519" s="2">
        <v>1</v>
      </c>
      <c r="E1519" s="2" t="str">
        <f>"2170756558"</f>
        <v>2170756558</v>
      </c>
      <c r="F1519" s="2" t="s">
        <v>17</v>
      </c>
      <c r="G1519" s="2" t="s">
        <v>18</v>
      </c>
      <c r="H1519" s="2" t="s">
        <v>25</v>
      </c>
      <c r="I1519" s="2" t="s">
        <v>26</v>
      </c>
      <c r="J1519" s="2" t="s">
        <v>100</v>
      </c>
      <c r="K1519" s="2" t="s">
        <v>1190</v>
      </c>
      <c r="L1519" s="3">
        <v>0.32430555555555557</v>
      </c>
      <c r="M1519" s="2" t="s">
        <v>217</v>
      </c>
      <c r="N1519" s="2" t="s">
        <v>500</v>
      </c>
      <c r="O1519" s="2"/>
      <c r="P1519" s="4"/>
      <c r="Q1519" s="4"/>
      <c r="R1519" s="4"/>
      <c r="S1519" s="4"/>
      <c r="T1519" s="4"/>
      <c r="U1519" s="4"/>
      <c r="V1519" s="4"/>
      <c r="W1519" s="4"/>
      <c r="X1519" s="4"/>
      <c r="Y1519" s="4"/>
      <c r="Z1519" s="4"/>
      <c r="AA1519" s="4"/>
      <c r="AB1519" s="4"/>
      <c r="AC1519" s="4"/>
      <c r="AD1519" s="4"/>
      <c r="AE1519" s="4"/>
      <c r="AF1519" s="4"/>
      <c r="AG1519" s="4"/>
      <c r="AH1519" s="4"/>
      <c r="AI1519" s="4"/>
      <c r="AJ1519" s="4"/>
      <c r="AK1519" s="4"/>
      <c r="AL1519" s="4"/>
      <c r="AM1519" s="4"/>
      <c r="AN1519" s="4"/>
      <c r="AO1519" s="4"/>
      <c r="AP1519" s="4"/>
      <c r="AQ1519" s="4"/>
      <c r="AR1519" s="4"/>
      <c r="AS1519" s="4"/>
      <c r="AT1519" s="4"/>
      <c r="AU1519" s="4"/>
      <c r="AV1519" s="4"/>
      <c r="AW1519" s="4"/>
      <c r="AX1519" s="4"/>
      <c r="AY1519" s="4"/>
      <c r="AZ1519" s="4"/>
      <c r="BA1519" s="4"/>
      <c r="BB1519" s="4"/>
      <c r="BC1519" s="4"/>
      <c r="BD1519" s="4"/>
      <c r="BE1519" s="4"/>
      <c r="BF1519" s="4"/>
      <c r="BG1519" s="4"/>
      <c r="BH1519" s="4"/>
      <c r="BI1519" s="4"/>
      <c r="BJ1519" s="4"/>
      <c r="BK1519" s="4"/>
      <c r="BL1519" s="4"/>
      <c r="BM1519" s="4"/>
      <c r="BN1519" s="4"/>
      <c r="BO1519" s="4"/>
      <c r="BP1519" s="4"/>
      <c r="BQ1519" s="4"/>
      <c r="BR1519" s="4"/>
      <c r="BS1519" s="4"/>
      <c r="BT1519" s="4"/>
      <c r="BU1519" s="4"/>
      <c r="BV1519" s="4"/>
      <c r="BW1519" s="4"/>
      <c r="BX1519" s="4"/>
      <c r="BY1519" s="4"/>
      <c r="BZ1519" s="4"/>
      <c r="CA1519" s="4"/>
      <c r="CB1519" s="4"/>
      <c r="CC1519" s="4"/>
      <c r="CD1519" s="4"/>
      <c r="CE1519" s="4"/>
      <c r="CF1519" s="4"/>
      <c r="CG1519" s="4"/>
      <c r="CH1519" s="4"/>
      <c r="CI1519" s="4"/>
      <c r="CJ1519" s="4"/>
      <c r="CK1519" s="4"/>
      <c r="CL1519" s="4"/>
      <c r="CM1519" s="4"/>
      <c r="CN1519" s="4"/>
      <c r="CO1519" s="4"/>
      <c r="CP1519" s="4"/>
      <c r="CQ1519" s="4"/>
      <c r="CR1519" s="4"/>
      <c r="CS1519" s="4"/>
      <c r="CT1519" s="4"/>
      <c r="CU1519" s="4"/>
      <c r="CV1519" s="4"/>
      <c r="CW1519" s="4"/>
      <c r="CX1519" s="4"/>
      <c r="CY1519" s="4"/>
      <c r="CZ1519" s="4"/>
      <c r="DA1519" s="4"/>
      <c r="DB1519" s="4"/>
      <c r="DC1519" s="4"/>
      <c r="DD1519" s="4"/>
      <c r="DE1519" s="4"/>
      <c r="DF1519" s="4"/>
      <c r="DG1519" s="4"/>
      <c r="DH1519" s="4"/>
      <c r="DI1519" s="4"/>
      <c r="DJ1519" s="4"/>
      <c r="DK1519" s="4"/>
      <c r="DL1519" s="4"/>
      <c r="DM1519" s="4"/>
      <c r="DN1519" s="4"/>
      <c r="DO1519" s="4"/>
      <c r="DP1519" s="4"/>
      <c r="DQ1519" s="4"/>
      <c r="DR1519" s="4"/>
    </row>
    <row r="1520" spans="1:122" x14ac:dyDescent="0.25">
      <c r="A1520" s="2" t="s">
        <v>15</v>
      </c>
      <c r="B1520" s="2" t="str">
        <f>"FES1162769378"</f>
        <v>FES1162769378</v>
      </c>
      <c r="C1520" s="2" t="s">
        <v>1084</v>
      </c>
      <c r="D1520" s="2">
        <v>1</v>
      </c>
      <c r="E1520" s="2" t="str">
        <f>"2170755929"</f>
        <v>2170755929</v>
      </c>
      <c r="F1520" s="2" t="s">
        <v>17</v>
      </c>
      <c r="G1520" s="2" t="s">
        <v>18</v>
      </c>
      <c r="H1520" s="2" t="s">
        <v>25</v>
      </c>
      <c r="I1520" s="2" t="s">
        <v>39</v>
      </c>
      <c r="J1520" s="2" t="s">
        <v>40</v>
      </c>
      <c r="K1520" s="2" t="s">
        <v>1190</v>
      </c>
      <c r="L1520" s="3">
        <v>0.41666666666666669</v>
      </c>
      <c r="M1520" s="2" t="s">
        <v>1269</v>
      </c>
      <c r="N1520" s="2" t="s">
        <v>500</v>
      </c>
      <c r="O1520" s="2"/>
      <c r="P1520" s="4"/>
      <c r="Q1520" s="4"/>
      <c r="R1520" s="4"/>
      <c r="S1520" s="4"/>
      <c r="T1520" s="4"/>
      <c r="U1520" s="4"/>
      <c r="V1520" s="4"/>
      <c r="W1520" s="4"/>
      <c r="X1520" s="4"/>
      <c r="Y1520" s="4"/>
      <c r="Z1520" s="4"/>
      <c r="AA1520" s="4"/>
      <c r="AB1520" s="4"/>
      <c r="AC1520" s="4"/>
      <c r="AD1520" s="4"/>
      <c r="AE1520" s="4"/>
      <c r="AF1520" s="4"/>
      <c r="AG1520" s="4"/>
      <c r="AH1520" s="4"/>
      <c r="AI1520" s="4"/>
      <c r="AJ1520" s="4"/>
      <c r="AK1520" s="4"/>
      <c r="AL1520" s="4"/>
      <c r="AM1520" s="4"/>
      <c r="AN1520" s="4"/>
      <c r="AO1520" s="4"/>
      <c r="AP1520" s="4"/>
      <c r="AQ1520" s="4"/>
      <c r="AR1520" s="4"/>
      <c r="AS1520" s="4"/>
      <c r="AT1520" s="4"/>
      <c r="AU1520" s="4"/>
      <c r="AV1520" s="4"/>
      <c r="AW1520" s="4"/>
      <c r="AX1520" s="4"/>
      <c r="AY1520" s="4"/>
      <c r="AZ1520" s="4"/>
      <c r="BA1520" s="4"/>
      <c r="BB1520" s="4"/>
      <c r="BC1520" s="4"/>
      <c r="BD1520" s="4"/>
      <c r="BE1520" s="4"/>
      <c r="BF1520" s="4"/>
      <c r="BG1520" s="4"/>
      <c r="BH1520" s="4"/>
      <c r="BI1520" s="4"/>
      <c r="BJ1520" s="4"/>
      <c r="BK1520" s="4"/>
      <c r="BL1520" s="4"/>
      <c r="BM1520" s="4"/>
      <c r="BN1520" s="4"/>
      <c r="BO1520" s="4"/>
      <c r="BP1520" s="4"/>
      <c r="BQ1520" s="4"/>
      <c r="BR1520" s="4"/>
      <c r="BS1520" s="4"/>
      <c r="BT1520" s="4"/>
      <c r="BU1520" s="4"/>
      <c r="BV1520" s="4"/>
      <c r="BW1520" s="4"/>
      <c r="BX1520" s="4"/>
      <c r="BY1520" s="4"/>
      <c r="BZ1520" s="4"/>
      <c r="CA1520" s="4"/>
      <c r="CB1520" s="4"/>
      <c r="CC1520" s="4"/>
      <c r="CD1520" s="4"/>
      <c r="CE1520" s="4"/>
      <c r="CF1520" s="4"/>
      <c r="CG1520" s="4"/>
      <c r="CH1520" s="4"/>
      <c r="CI1520" s="4"/>
      <c r="CJ1520" s="4"/>
      <c r="CK1520" s="4"/>
      <c r="CL1520" s="4"/>
      <c r="CM1520" s="4"/>
      <c r="CN1520" s="4"/>
      <c r="CO1520" s="4"/>
      <c r="CP1520" s="4"/>
      <c r="CQ1520" s="4"/>
      <c r="CR1520" s="4"/>
      <c r="CS1520" s="4"/>
      <c r="CT1520" s="4"/>
      <c r="CU1520" s="4"/>
      <c r="CV1520" s="4"/>
      <c r="CW1520" s="4"/>
      <c r="CX1520" s="4"/>
      <c r="CY1520" s="4"/>
      <c r="CZ1520" s="4"/>
      <c r="DA1520" s="4"/>
      <c r="DB1520" s="4"/>
      <c r="DC1520" s="4"/>
      <c r="DD1520" s="4"/>
      <c r="DE1520" s="4"/>
      <c r="DF1520" s="4"/>
      <c r="DG1520" s="4"/>
      <c r="DH1520" s="4"/>
      <c r="DI1520" s="4"/>
      <c r="DJ1520" s="4"/>
      <c r="DK1520" s="4"/>
      <c r="DL1520" s="4"/>
      <c r="DM1520" s="4"/>
      <c r="DN1520" s="4"/>
      <c r="DO1520" s="4"/>
      <c r="DP1520" s="4"/>
      <c r="DQ1520" s="4"/>
      <c r="DR1520" s="4"/>
    </row>
    <row r="1521" spans="1:122" x14ac:dyDescent="0.25">
      <c r="A1521" s="2" t="s">
        <v>15</v>
      </c>
      <c r="B1521" s="2" t="str">
        <f>"FES1162769403"</f>
        <v>FES1162769403</v>
      </c>
      <c r="C1521" s="2" t="s">
        <v>1084</v>
      </c>
      <c r="D1521" s="2">
        <v>1</v>
      </c>
      <c r="E1521" s="2" t="str">
        <f>"2170755757"</f>
        <v>2170755757</v>
      </c>
      <c r="F1521" s="2" t="s">
        <v>17</v>
      </c>
      <c r="G1521" s="2" t="s">
        <v>18</v>
      </c>
      <c r="H1521" s="2" t="s">
        <v>25</v>
      </c>
      <c r="I1521" s="2" t="s">
        <v>26</v>
      </c>
      <c r="J1521" s="2" t="s">
        <v>75</v>
      </c>
      <c r="K1521" s="2" t="s">
        <v>1190</v>
      </c>
      <c r="L1521" s="3">
        <v>0.36388888888888887</v>
      </c>
      <c r="M1521" s="2" t="s">
        <v>677</v>
      </c>
      <c r="N1521" s="2" t="s">
        <v>500</v>
      </c>
      <c r="O1521" s="2"/>
      <c r="P1521" s="4"/>
      <c r="Q1521" s="4"/>
      <c r="R1521" s="4"/>
      <c r="S1521" s="4"/>
      <c r="T1521" s="4"/>
      <c r="U1521" s="4"/>
      <c r="V1521" s="4"/>
      <c r="W1521" s="4"/>
      <c r="X1521" s="4"/>
      <c r="Y1521" s="4"/>
      <c r="Z1521" s="4"/>
      <c r="AA1521" s="4"/>
      <c r="AB1521" s="4"/>
      <c r="AC1521" s="4"/>
      <c r="AD1521" s="4"/>
      <c r="AE1521" s="4"/>
      <c r="AF1521" s="4"/>
      <c r="AG1521" s="4"/>
      <c r="AH1521" s="4"/>
      <c r="AI1521" s="4"/>
      <c r="AJ1521" s="4"/>
      <c r="AK1521" s="4"/>
      <c r="AL1521" s="4"/>
      <c r="AM1521" s="4"/>
      <c r="AN1521" s="4"/>
      <c r="AO1521" s="4"/>
      <c r="AP1521" s="4"/>
      <c r="AQ1521" s="4"/>
      <c r="AR1521" s="4"/>
      <c r="AS1521" s="4"/>
      <c r="AT1521" s="4"/>
      <c r="AU1521" s="4"/>
      <c r="AV1521" s="4"/>
      <c r="AW1521" s="4"/>
      <c r="AX1521" s="4"/>
      <c r="AY1521" s="4"/>
      <c r="AZ1521" s="4"/>
      <c r="BA1521" s="4"/>
      <c r="BB1521" s="4"/>
      <c r="BC1521" s="4"/>
      <c r="BD1521" s="4"/>
      <c r="BE1521" s="4"/>
      <c r="BF1521" s="4"/>
      <c r="BG1521" s="4"/>
      <c r="BH1521" s="4"/>
      <c r="BI1521" s="4"/>
      <c r="BJ1521" s="4"/>
      <c r="BK1521" s="4"/>
      <c r="BL1521" s="4"/>
      <c r="BM1521" s="4"/>
      <c r="BN1521" s="4"/>
      <c r="BO1521" s="4"/>
      <c r="BP1521" s="4"/>
      <c r="BQ1521" s="4"/>
      <c r="BR1521" s="4"/>
      <c r="BS1521" s="4"/>
      <c r="BT1521" s="4"/>
      <c r="BU1521" s="4"/>
      <c r="BV1521" s="4"/>
      <c r="BW1521" s="4"/>
      <c r="BX1521" s="4"/>
      <c r="BY1521" s="4"/>
      <c r="BZ1521" s="4"/>
      <c r="CA1521" s="4"/>
      <c r="CB1521" s="4"/>
      <c r="CC1521" s="4"/>
      <c r="CD1521" s="4"/>
      <c r="CE1521" s="4"/>
      <c r="CF1521" s="4"/>
      <c r="CG1521" s="4"/>
      <c r="CH1521" s="4"/>
      <c r="CI1521" s="4"/>
      <c r="CJ1521" s="4"/>
      <c r="CK1521" s="4"/>
      <c r="CL1521" s="4"/>
      <c r="CM1521" s="4"/>
      <c r="CN1521" s="4"/>
      <c r="CO1521" s="4"/>
      <c r="CP1521" s="4"/>
      <c r="CQ1521" s="4"/>
      <c r="CR1521" s="4"/>
      <c r="CS1521" s="4"/>
      <c r="CT1521" s="4"/>
      <c r="CU1521" s="4"/>
      <c r="CV1521" s="4"/>
      <c r="CW1521" s="4"/>
      <c r="CX1521" s="4"/>
      <c r="CY1521" s="4"/>
      <c r="CZ1521" s="4"/>
      <c r="DA1521" s="4"/>
      <c r="DB1521" s="4"/>
      <c r="DC1521" s="4"/>
      <c r="DD1521" s="4"/>
      <c r="DE1521" s="4"/>
      <c r="DF1521" s="4"/>
      <c r="DG1521" s="4"/>
      <c r="DH1521" s="4"/>
      <c r="DI1521" s="4"/>
      <c r="DJ1521" s="4"/>
      <c r="DK1521" s="4"/>
      <c r="DL1521" s="4"/>
      <c r="DM1521" s="4"/>
      <c r="DN1521" s="4"/>
      <c r="DO1521" s="4"/>
      <c r="DP1521" s="4"/>
      <c r="DQ1521" s="4"/>
      <c r="DR1521" s="4"/>
    </row>
    <row r="1522" spans="1:122" x14ac:dyDescent="0.25">
      <c r="A1522" s="2" t="s">
        <v>15</v>
      </c>
      <c r="B1522" s="2" t="str">
        <f>"FES1162767604"</f>
        <v>FES1162767604</v>
      </c>
      <c r="C1522" s="2" t="s">
        <v>1084</v>
      </c>
      <c r="D1522" s="2">
        <v>1</v>
      </c>
      <c r="E1522" s="2" t="str">
        <f>"2170754366"</f>
        <v>2170754366</v>
      </c>
      <c r="F1522" s="2" t="s">
        <v>17</v>
      </c>
      <c r="G1522" s="2" t="s">
        <v>18</v>
      </c>
      <c r="H1522" s="2" t="s">
        <v>25</v>
      </c>
      <c r="I1522" s="2" t="s">
        <v>26</v>
      </c>
      <c r="J1522" s="2" t="s">
        <v>27</v>
      </c>
      <c r="K1522" s="2" t="s">
        <v>1190</v>
      </c>
      <c r="L1522" s="3">
        <v>0.40833333333333338</v>
      </c>
      <c r="M1522" s="2" t="s">
        <v>1270</v>
      </c>
      <c r="N1522" s="2" t="s">
        <v>500</v>
      </c>
      <c r="O1522" s="2"/>
      <c r="P1522" s="4"/>
      <c r="Q1522" s="4"/>
      <c r="R1522" s="4"/>
      <c r="S1522" s="4"/>
      <c r="T1522" s="4"/>
      <c r="U1522" s="4"/>
      <c r="V1522" s="4"/>
      <c r="W1522" s="4"/>
      <c r="X1522" s="4"/>
      <c r="Y1522" s="4"/>
      <c r="Z1522" s="4"/>
      <c r="AA1522" s="4"/>
      <c r="AB1522" s="4"/>
      <c r="AC1522" s="4"/>
      <c r="AD1522" s="4"/>
      <c r="AE1522" s="4"/>
      <c r="AF1522" s="4"/>
      <c r="AG1522" s="4"/>
      <c r="AH1522" s="4"/>
      <c r="AI1522" s="4"/>
      <c r="AJ1522" s="4"/>
      <c r="AK1522" s="4"/>
      <c r="AL1522" s="4"/>
      <c r="AM1522" s="4"/>
      <c r="AN1522" s="4"/>
      <c r="AO1522" s="4"/>
      <c r="AP1522" s="4"/>
      <c r="AQ1522" s="4"/>
      <c r="AR1522" s="4"/>
      <c r="AS1522" s="4"/>
      <c r="AT1522" s="4"/>
      <c r="AU1522" s="4"/>
      <c r="AV1522" s="4"/>
      <c r="AW1522" s="4"/>
      <c r="AX1522" s="4"/>
      <c r="AY1522" s="4"/>
      <c r="AZ1522" s="4"/>
      <c r="BA1522" s="4"/>
      <c r="BB1522" s="4"/>
      <c r="BC1522" s="4"/>
      <c r="BD1522" s="4"/>
      <c r="BE1522" s="4"/>
      <c r="BF1522" s="4"/>
      <c r="BG1522" s="4"/>
      <c r="BH1522" s="4"/>
      <c r="BI1522" s="4"/>
      <c r="BJ1522" s="4"/>
      <c r="BK1522" s="4"/>
      <c r="BL1522" s="4"/>
      <c r="BM1522" s="4"/>
      <c r="BN1522" s="4"/>
      <c r="BO1522" s="4"/>
      <c r="BP1522" s="4"/>
      <c r="BQ1522" s="4"/>
      <c r="BR1522" s="4"/>
      <c r="BS1522" s="4"/>
      <c r="BT1522" s="4"/>
      <c r="BU1522" s="4"/>
      <c r="BV1522" s="4"/>
      <c r="BW1522" s="4"/>
      <c r="BX1522" s="4"/>
      <c r="BY1522" s="4"/>
      <c r="BZ1522" s="4"/>
      <c r="CA1522" s="4"/>
      <c r="CB1522" s="4"/>
      <c r="CC1522" s="4"/>
      <c r="CD1522" s="4"/>
      <c r="CE1522" s="4"/>
      <c r="CF1522" s="4"/>
      <c r="CG1522" s="4"/>
      <c r="CH1522" s="4"/>
      <c r="CI1522" s="4"/>
      <c r="CJ1522" s="4"/>
      <c r="CK1522" s="4"/>
      <c r="CL1522" s="4"/>
      <c r="CM1522" s="4"/>
      <c r="CN1522" s="4"/>
      <c r="CO1522" s="4"/>
      <c r="CP1522" s="4"/>
      <c r="CQ1522" s="4"/>
      <c r="CR1522" s="4"/>
      <c r="CS1522" s="4"/>
      <c r="CT1522" s="4"/>
      <c r="CU1522" s="4"/>
      <c r="CV1522" s="4"/>
      <c r="CW1522" s="4"/>
      <c r="CX1522" s="4"/>
      <c r="CY1522" s="4"/>
      <c r="CZ1522" s="4"/>
      <c r="DA1522" s="4"/>
      <c r="DB1522" s="4"/>
      <c r="DC1522" s="4"/>
      <c r="DD1522" s="4"/>
      <c r="DE1522" s="4"/>
      <c r="DF1522" s="4"/>
      <c r="DG1522" s="4"/>
      <c r="DH1522" s="4"/>
      <c r="DI1522" s="4"/>
      <c r="DJ1522" s="4"/>
      <c r="DK1522" s="4"/>
      <c r="DL1522" s="4"/>
      <c r="DM1522" s="4"/>
      <c r="DN1522" s="4"/>
      <c r="DO1522" s="4"/>
      <c r="DP1522" s="4"/>
      <c r="DQ1522" s="4"/>
      <c r="DR1522" s="4"/>
    </row>
    <row r="1523" spans="1:122" x14ac:dyDescent="0.25">
      <c r="A1523" s="2" t="s">
        <v>15</v>
      </c>
      <c r="B1523" s="2" t="str">
        <f>"FES1162769368"</f>
        <v>FES1162769368</v>
      </c>
      <c r="C1523" s="2" t="s">
        <v>1084</v>
      </c>
      <c r="D1523" s="2">
        <v>1</v>
      </c>
      <c r="E1523" s="2" t="str">
        <f>"2170755285"</f>
        <v>2170755285</v>
      </c>
      <c r="F1523" s="2" t="s">
        <v>17</v>
      </c>
      <c r="G1523" s="2" t="s">
        <v>18</v>
      </c>
      <c r="H1523" s="2" t="s">
        <v>19</v>
      </c>
      <c r="I1523" s="2" t="s">
        <v>111</v>
      </c>
      <c r="J1523" s="2" t="s">
        <v>1227</v>
      </c>
      <c r="K1523" s="2" t="s">
        <v>1190</v>
      </c>
      <c r="L1523" s="3">
        <v>0.57986111111111105</v>
      </c>
      <c r="M1523" s="2" t="s">
        <v>1186</v>
      </c>
      <c r="N1523" s="2" t="s">
        <v>500</v>
      </c>
      <c r="O1523" s="2"/>
      <c r="P1523" s="4"/>
      <c r="Q1523" s="4"/>
      <c r="R1523" s="4"/>
      <c r="S1523" s="4"/>
      <c r="T1523" s="4"/>
      <c r="U1523" s="4"/>
      <c r="V1523" s="4"/>
      <c r="W1523" s="4"/>
      <c r="X1523" s="4"/>
      <c r="Y1523" s="4"/>
      <c r="Z1523" s="4"/>
      <c r="AA1523" s="4"/>
      <c r="AB1523" s="4"/>
      <c r="AC1523" s="4"/>
      <c r="AD1523" s="4"/>
      <c r="AE1523" s="4"/>
      <c r="AF1523" s="4"/>
      <c r="AG1523" s="4"/>
      <c r="AH1523" s="4"/>
      <c r="AI1523" s="4"/>
      <c r="AJ1523" s="4"/>
      <c r="AK1523" s="4"/>
      <c r="AL1523" s="4"/>
      <c r="AM1523" s="4"/>
      <c r="AN1523" s="4"/>
      <c r="AO1523" s="4"/>
      <c r="AP1523" s="4"/>
      <c r="AQ1523" s="4"/>
      <c r="AR1523" s="4"/>
      <c r="AS1523" s="4"/>
      <c r="AT1523" s="4"/>
      <c r="AU1523" s="4"/>
      <c r="AV1523" s="4"/>
      <c r="AW1523" s="4"/>
      <c r="AX1523" s="4"/>
      <c r="AY1523" s="4"/>
      <c r="AZ1523" s="4"/>
      <c r="BA1523" s="4"/>
      <c r="BB1523" s="4"/>
      <c r="BC1523" s="4"/>
      <c r="BD1523" s="4"/>
      <c r="BE1523" s="4"/>
      <c r="BF1523" s="4"/>
      <c r="BG1523" s="4"/>
      <c r="BH1523" s="4"/>
      <c r="BI1523" s="4"/>
      <c r="BJ1523" s="4"/>
      <c r="BK1523" s="4"/>
      <c r="BL1523" s="4"/>
      <c r="BM1523" s="4"/>
      <c r="BN1523" s="4"/>
      <c r="BO1523" s="4"/>
      <c r="BP1523" s="4"/>
      <c r="BQ1523" s="4"/>
      <c r="BR1523" s="4"/>
      <c r="BS1523" s="4"/>
      <c r="BT1523" s="4"/>
      <c r="BU1523" s="4"/>
      <c r="BV1523" s="4"/>
      <c r="BW1523" s="4"/>
      <c r="BX1523" s="4"/>
      <c r="BY1523" s="4"/>
      <c r="BZ1523" s="4"/>
      <c r="CA1523" s="4"/>
      <c r="CB1523" s="4"/>
      <c r="CC1523" s="4"/>
      <c r="CD1523" s="4"/>
      <c r="CE1523" s="4"/>
      <c r="CF1523" s="4"/>
      <c r="CG1523" s="4"/>
      <c r="CH1523" s="4"/>
      <c r="CI1523" s="4"/>
      <c r="CJ1523" s="4"/>
      <c r="CK1523" s="4"/>
      <c r="CL1523" s="4"/>
      <c r="CM1523" s="4"/>
      <c r="CN1523" s="4"/>
      <c r="CO1523" s="4"/>
      <c r="CP1523" s="4"/>
      <c r="CQ1523" s="4"/>
      <c r="CR1523" s="4"/>
      <c r="CS1523" s="4"/>
      <c r="CT1523" s="4"/>
      <c r="CU1523" s="4"/>
      <c r="CV1523" s="4"/>
      <c r="CW1523" s="4"/>
      <c r="CX1523" s="4"/>
      <c r="CY1523" s="4"/>
      <c r="CZ1523" s="4"/>
      <c r="DA1523" s="4"/>
      <c r="DB1523" s="4"/>
      <c r="DC1523" s="4"/>
      <c r="DD1523" s="4"/>
      <c r="DE1523" s="4"/>
      <c r="DF1523" s="4"/>
      <c r="DG1523" s="4"/>
      <c r="DH1523" s="4"/>
      <c r="DI1523" s="4"/>
      <c r="DJ1523" s="4"/>
      <c r="DK1523" s="4"/>
      <c r="DL1523" s="4"/>
      <c r="DM1523" s="4"/>
      <c r="DN1523" s="4"/>
      <c r="DO1523" s="4"/>
      <c r="DP1523" s="4"/>
      <c r="DQ1523" s="4"/>
      <c r="DR1523" s="4"/>
    </row>
    <row r="1524" spans="1:122" x14ac:dyDescent="0.25">
      <c r="A1524" s="2" t="s">
        <v>15</v>
      </c>
      <c r="B1524" s="2" t="str">
        <f>"FES1162769377"</f>
        <v>FES1162769377</v>
      </c>
      <c r="C1524" s="2" t="s">
        <v>1084</v>
      </c>
      <c r="D1524" s="2">
        <v>1</v>
      </c>
      <c r="E1524" s="2" t="str">
        <f>"2170755882"</f>
        <v>2170755882</v>
      </c>
      <c r="F1524" s="2" t="s">
        <v>17</v>
      </c>
      <c r="G1524" s="2" t="s">
        <v>18</v>
      </c>
      <c r="H1524" s="2" t="s">
        <v>78</v>
      </c>
      <c r="I1524" s="2" t="s">
        <v>79</v>
      </c>
      <c r="J1524" s="2" t="s">
        <v>80</v>
      </c>
      <c r="K1524" s="2" t="s">
        <v>1190</v>
      </c>
      <c r="L1524" s="3">
        <v>0.39374999999999999</v>
      </c>
      <c r="M1524" s="2" t="s">
        <v>1330</v>
      </c>
      <c r="N1524" s="2" t="s">
        <v>500</v>
      </c>
      <c r="O1524" s="2"/>
      <c r="P1524" s="4"/>
      <c r="Q1524" s="4"/>
      <c r="R1524" s="4"/>
      <c r="S1524" s="4"/>
      <c r="T1524" s="4"/>
      <c r="U1524" s="4"/>
      <c r="V1524" s="4"/>
      <c r="W1524" s="4"/>
      <c r="X1524" s="4"/>
      <c r="Y1524" s="4"/>
      <c r="Z1524" s="4"/>
      <c r="AA1524" s="4"/>
      <c r="AB1524" s="4"/>
      <c r="AC1524" s="4"/>
      <c r="AD1524" s="4"/>
      <c r="AE1524" s="4"/>
      <c r="AF1524" s="4"/>
      <c r="AG1524" s="4"/>
      <c r="AH1524" s="4"/>
      <c r="AI1524" s="4"/>
      <c r="AJ1524" s="4"/>
      <c r="AK1524" s="4"/>
      <c r="AL1524" s="4"/>
      <c r="AM1524" s="4"/>
      <c r="AN1524" s="4"/>
      <c r="AO1524" s="4"/>
      <c r="AP1524" s="4"/>
      <c r="AQ1524" s="4"/>
      <c r="AR1524" s="4"/>
      <c r="AS1524" s="4"/>
      <c r="AT1524" s="4"/>
      <c r="AU1524" s="4"/>
      <c r="AV1524" s="4"/>
      <c r="AW1524" s="4"/>
      <c r="AX1524" s="4"/>
      <c r="AY1524" s="4"/>
      <c r="AZ1524" s="4"/>
      <c r="BA1524" s="4"/>
      <c r="BB1524" s="4"/>
      <c r="BC1524" s="4"/>
      <c r="BD1524" s="4"/>
      <c r="BE1524" s="4"/>
      <c r="BF1524" s="4"/>
      <c r="BG1524" s="4"/>
      <c r="BH1524" s="4"/>
      <c r="BI1524" s="4"/>
      <c r="BJ1524" s="4"/>
      <c r="BK1524" s="4"/>
      <c r="BL1524" s="4"/>
      <c r="BM1524" s="4"/>
      <c r="BN1524" s="4"/>
      <c r="BO1524" s="4"/>
      <c r="BP1524" s="4"/>
      <c r="BQ1524" s="4"/>
      <c r="BR1524" s="4"/>
      <c r="BS1524" s="4"/>
      <c r="BT1524" s="4"/>
      <c r="BU1524" s="4"/>
      <c r="BV1524" s="4"/>
      <c r="BW1524" s="4"/>
      <c r="BX1524" s="4"/>
      <c r="BY1524" s="4"/>
      <c r="BZ1524" s="4"/>
      <c r="CA1524" s="4"/>
      <c r="CB1524" s="4"/>
      <c r="CC1524" s="4"/>
      <c r="CD1524" s="4"/>
      <c r="CE1524" s="4"/>
      <c r="CF1524" s="4"/>
      <c r="CG1524" s="4"/>
      <c r="CH1524" s="4"/>
      <c r="CI1524" s="4"/>
      <c r="CJ1524" s="4"/>
      <c r="CK1524" s="4"/>
      <c r="CL1524" s="4"/>
      <c r="CM1524" s="4"/>
      <c r="CN1524" s="4"/>
      <c r="CO1524" s="4"/>
      <c r="CP1524" s="4"/>
      <c r="CQ1524" s="4"/>
      <c r="CR1524" s="4"/>
      <c r="CS1524" s="4"/>
      <c r="CT1524" s="4"/>
      <c r="CU1524" s="4"/>
      <c r="CV1524" s="4"/>
      <c r="CW1524" s="4"/>
      <c r="CX1524" s="4"/>
      <c r="CY1524" s="4"/>
      <c r="CZ1524" s="4"/>
      <c r="DA1524" s="4"/>
      <c r="DB1524" s="4"/>
      <c r="DC1524" s="4"/>
      <c r="DD1524" s="4"/>
      <c r="DE1524" s="4"/>
      <c r="DF1524" s="4"/>
      <c r="DG1524" s="4"/>
      <c r="DH1524" s="4"/>
      <c r="DI1524" s="4"/>
      <c r="DJ1524" s="4"/>
      <c r="DK1524" s="4"/>
      <c r="DL1524" s="4"/>
      <c r="DM1524" s="4"/>
      <c r="DN1524" s="4"/>
      <c r="DO1524" s="4"/>
      <c r="DP1524" s="4"/>
      <c r="DQ1524" s="4"/>
      <c r="DR1524" s="4"/>
    </row>
    <row r="1525" spans="1:122" x14ac:dyDescent="0.25">
      <c r="A1525" s="2" t="s">
        <v>15</v>
      </c>
      <c r="B1525" s="2" t="str">
        <f>"FES1162769358"</f>
        <v>FES1162769358</v>
      </c>
      <c r="C1525" s="2" t="s">
        <v>1084</v>
      </c>
      <c r="D1525" s="2">
        <v>1</v>
      </c>
      <c r="E1525" s="2" t="str">
        <f>"2170752014"</f>
        <v>2170752014</v>
      </c>
      <c r="F1525" s="2" t="s">
        <v>17</v>
      </c>
      <c r="G1525" s="2" t="s">
        <v>18</v>
      </c>
      <c r="H1525" s="2" t="s">
        <v>19</v>
      </c>
      <c r="I1525" s="2" t="s">
        <v>20</v>
      </c>
      <c r="J1525" s="2" t="s">
        <v>123</v>
      </c>
      <c r="K1525" s="2" t="s">
        <v>1190</v>
      </c>
      <c r="L1525" s="3">
        <v>0.41597222222222219</v>
      </c>
      <c r="M1525" s="2" t="s">
        <v>233</v>
      </c>
      <c r="N1525" s="2" t="s">
        <v>500</v>
      </c>
      <c r="O1525" s="2"/>
      <c r="P1525" s="4"/>
      <c r="Q1525" s="4"/>
      <c r="R1525" s="4"/>
      <c r="S1525" s="4"/>
      <c r="T1525" s="4"/>
      <c r="U1525" s="4"/>
      <c r="V1525" s="4"/>
      <c r="W1525" s="4"/>
      <c r="X1525" s="4"/>
      <c r="Y1525" s="4"/>
      <c r="Z1525" s="4"/>
      <c r="AA1525" s="4"/>
      <c r="AB1525" s="4"/>
      <c r="AC1525" s="4"/>
      <c r="AD1525" s="4"/>
      <c r="AE1525" s="4"/>
      <c r="AF1525" s="4"/>
      <c r="AG1525" s="4"/>
      <c r="AH1525" s="4"/>
      <c r="AI1525" s="4"/>
      <c r="AJ1525" s="4"/>
      <c r="AK1525" s="4"/>
      <c r="AL1525" s="4"/>
      <c r="AM1525" s="4"/>
      <c r="AN1525" s="4"/>
      <c r="AO1525" s="4"/>
      <c r="AP1525" s="4"/>
      <c r="AQ1525" s="4"/>
      <c r="AR1525" s="4"/>
      <c r="AS1525" s="4"/>
      <c r="AT1525" s="4"/>
      <c r="AU1525" s="4"/>
      <c r="AV1525" s="4"/>
      <c r="AW1525" s="4"/>
      <c r="AX1525" s="4"/>
      <c r="AY1525" s="4"/>
      <c r="AZ1525" s="4"/>
      <c r="BA1525" s="4"/>
      <c r="BB1525" s="4"/>
      <c r="BC1525" s="4"/>
      <c r="BD1525" s="4"/>
      <c r="BE1525" s="4"/>
      <c r="BF1525" s="4"/>
      <c r="BG1525" s="4"/>
      <c r="BH1525" s="4"/>
      <c r="BI1525" s="4"/>
      <c r="BJ1525" s="4"/>
      <c r="BK1525" s="4"/>
      <c r="BL1525" s="4"/>
      <c r="BM1525" s="4"/>
      <c r="BN1525" s="4"/>
      <c r="BO1525" s="4"/>
      <c r="BP1525" s="4"/>
      <c r="BQ1525" s="4"/>
      <c r="BR1525" s="4"/>
      <c r="BS1525" s="4"/>
      <c r="BT1525" s="4"/>
      <c r="BU1525" s="4"/>
      <c r="BV1525" s="4"/>
      <c r="BW1525" s="4"/>
      <c r="BX1525" s="4"/>
      <c r="BY1525" s="4"/>
      <c r="BZ1525" s="4"/>
      <c r="CA1525" s="4"/>
      <c r="CB1525" s="4"/>
      <c r="CC1525" s="4"/>
      <c r="CD1525" s="4"/>
      <c r="CE1525" s="4"/>
      <c r="CF1525" s="4"/>
      <c r="CG1525" s="4"/>
      <c r="CH1525" s="4"/>
      <c r="CI1525" s="4"/>
      <c r="CJ1525" s="4"/>
      <c r="CK1525" s="4"/>
      <c r="CL1525" s="4"/>
      <c r="CM1525" s="4"/>
      <c r="CN1525" s="4"/>
      <c r="CO1525" s="4"/>
      <c r="CP1525" s="4"/>
      <c r="CQ1525" s="4"/>
      <c r="CR1525" s="4"/>
      <c r="CS1525" s="4"/>
      <c r="CT1525" s="4"/>
      <c r="CU1525" s="4"/>
      <c r="CV1525" s="4"/>
      <c r="CW1525" s="4"/>
      <c r="CX1525" s="4"/>
      <c r="CY1525" s="4"/>
      <c r="CZ1525" s="4"/>
      <c r="DA1525" s="4"/>
      <c r="DB1525" s="4"/>
      <c r="DC1525" s="4"/>
      <c r="DD1525" s="4"/>
      <c r="DE1525" s="4"/>
      <c r="DF1525" s="4"/>
      <c r="DG1525" s="4"/>
      <c r="DH1525" s="4"/>
      <c r="DI1525" s="4"/>
      <c r="DJ1525" s="4"/>
      <c r="DK1525" s="4"/>
      <c r="DL1525" s="4"/>
      <c r="DM1525" s="4"/>
      <c r="DN1525" s="4"/>
      <c r="DO1525" s="4"/>
      <c r="DP1525" s="4"/>
      <c r="DQ1525" s="4"/>
      <c r="DR1525" s="4"/>
    </row>
    <row r="1526" spans="1:122" x14ac:dyDescent="0.25">
      <c r="A1526" s="2" t="s">
        <v>15</v>
      </c>
      <c r="B1526" s="2" t="str">
        <f>"FES1162769292"</f>
        <v>FES1162769292</v>
      </c>
      <c r="C1526" s="2" t="s">
        <v>1084</v>
      </c>
      <c r="D1526" s="2">
        <v>1</v>
      </c>
      <c r="E1526" s="2" t="str">
        <f>"2170754633"</f>
        <v>2170754633</v>
      </c>
      <c r="F1526" s="2" t="s">
        <v>17</v>
      </c>
      <c r="G1526" s="2" t="s">
        <v>18</v>
      </c>
      <c r="H1526" s="2" t="s">
        <v>36</v>
      </c>
      <c r="I1526" s="2" t="s">
        <v>37</v>
      </c>
      <c r="J1526" s="2" t="s">
        <v>104</v>
      </c>
      <c r="K1526" s="2" t="s">
        <v>1190</v>
      </c>
      <c r="L1526" s="3">
        <v>0.37986111111111115</v>
      </c>
      <c r="M1526" s="2" t="s">
        <v>672</v>
      </c>
      <c r="N1526" s="2" t="s">
        <v>500</v>
      </c>
      <c r="O1526" s="2"/>
      <c r="P1526" s="4"/>
      <c r="Q1526" s="4"/>
      <c r="R1526" s="4"/>
      <c r="S1526" s="4"/>
      <c r="T1526" s="4"/>
      <c r="U1526" s="4"/>
      <c r="V1526" s="4"/>
      <c r="W1526" s="4"/>
      <c r="X1526" s="4"/>
      <c r="Y1526" s="4"/>
      <c r="Z1526" s="4"/>
      <c r="AA1526" s="4"/>
      <c r="AB1526" s="4"/>
      <c r="AC1526" s="4"/>
      <c r="AD1526" s="4"/>
      <c r="AE1526" s="4"/>
      <c r="AF1526" s="4"/>
      <c r="AG1526" s="4"/>
      <c r="AH1526" s="4"/>
      <c r="AI1526" s="4"/>
      <c r="AJ1526" s="4"/>
      <c r="AK1526" s="4"/>
      <c r="AL1526" s="4"/>
      <c r="AM1526" s="4"/>
      <c r="AN1526" s="4"/>
      <c r="AO1526" s="4"/>
      <c r="AP1526" s="4"/>
      <c r="AQ1526" s="4"/>
      <c r="AR1526" s="4"/>
      <c r="AS1526" s="4"/>
      <c r="AT1526" s="4"/>
      <c r="AU1526" s="4"/>
      <c r="AV1526" s="4"/>
      <c r="AW1526" s="4"/>
      <c r="AX1526" s="4"/>
      <c r="AY1526" s="4"/>
      <c r="AZ1526" s="4"/>
      <c r="BA1526" s="4"/>
      <c r="BB1526" s="4"/>
      <c r="BC1526" s="4"/>
      <c r="BD1526" s="4"/>
      <c r="BE1526" s="4"/>
      <c r="BF1526" s="4"/>
      <c r="BG1526" s="4"/>
      <c r="BH1526" s="4"/>
      <c r="BI1526" s="4"/>
      <c r="BJ1526" s="4"/>
      <c r="BK1526" s="4"/>
      <c r="BL1526" s="4"/>
      <c r="BM1526" s="4"/>
      <c r="BN1526" s="4"/>
      <c r="BO1526" s="4"/>
      <c r="BP1526" s="4"/>
      <c r="BQ1526" s="4"/>
      <c r="BR1526" s="4"/>
      <c r="BS1526" s="4"/>
      <c r="BT1526" s="4"/>
      <c r="BU1526" s="4"/>
      <c r="BV1526" s="4"/>
      <c r="BW1526" s="4"/>
      <c r="BX1526" s="4"/>
      <c r="BY1526" s="4"/>
      <c r="BZ1526" s="4"/>
      <c r="CA1526" s="4"/>
      <c r="CB1526" s="4"/>
      <c r="CC1526" s="4"/>
      <c r="CD1526" s="4"/>
      <c r="CE1526" s="4"/>
      <c r="CF1526" s="4"/>
      <c r="CG1526" s="4"/>
      <c r="CH1526" s="4"/>
      <c r="CI1526" s="4"/>
      <c r="CJ1526" s="4"/>
      <c r="CK1526" s="4"/>
      <c r="CL1526" s="4"/>
      <c r="CM1526" s="4"/>
      <c r="CN1526" s="4"/>
      <c r="CO1526" s="4"/>
      <c r="CP1526" s="4"/>
      <c r="CQ1526" s="4"/>
      <c r="CR1526" s="4"/>
      <c r="CS1526" s="4"/>
      <c r="CT1526" s="4"/>
      <c r="CU1526" s="4"/>
      <c r="CV1526" s="4"/>
      <c r="CW1526" s="4"/>
      <c r="CX1526" s="4"/>
      <c r="CY1526" s="4"/>
      <c r="CZ1526" s="4"/>
      <c r="DA1526" s="4"/>
      <c r="DB1526" s="4"/>
      <c r="DC1526" s="4"/>
      <c r="DD1526" s="4"/>
      <c r="DE1526" s="4"/>
      <c r="DF1526" s="4"/>
      <c r="DG1526" s="4"/>
      <c r="DH1526" s="4"/>
      <c r="DI1526" s="4"/>
      <c r="DJ1526" s="4"/>
      <c r="DK1526" s="4"/>
      <c r="DL1526" s="4"/>
      <c r="DM1526" s="4"/>
      <c r="DN1526" s="4"/>
      <c r="DO1526" s="4"/>
      <c r="DP1526" s="4"/>
      <c r="DQ1526" s="4"/>
      <c r="DR1526" s="4"/>
    </row>
    <row r="1527" spans="1:122" x14ac:dyDescent="0.25">
      <c r="A1527" s="2" t="s">
        <v>15</v>
      </c>
      <c r="B1527" s="2" t="str">
        <f>"FES1162769371"</f>
        <v>FES1162769371</v>
      </c>
      <c r="C1527" s="2" t="s">
        <v>1084</v>
      </c>
      <c r="D1527" s="2">
        <v>1</v>
      </c>
      <c r="E1527" s="2" t="str">
        <f>"2170755512"</f>
        <v>2170755512</v>
      </c>
      <c r="F1527" s="2" t="s">
        <v>17</v>
      </c>
      <c r="G1527" s="2" t="s">
        <v>18</v>
      </c>
      <c r="H1527" s="2" t="s">
        <v>19</v>
      </c>
      <c r="I1527" s="2" t="s">
        <v>130</v>
      </c>
      <c r="J1527" s="2" t="s">
        <v>131</v>
      </c>
      <c r="K1527" s="2" t="s">
        <v>1190</v>
      </c>
      <c r="L1527" s="3">
        <v>0.37847222222222227</v>
      </c>
      <c r="M1527" s="2" t="s">
        <v>236</v>
      </c>
      <c r="N1527" s="2" t="s">
        <v>500</v>
      </c>
      <c r="O1527" s="2"/>
      <c r="P1527" s="4"/>
      <c r="Q1527" s="4"/>
      <c r="R1527" s="4"/>
      <c r="S1527" s="4"/>
      <c r="T1527" s="4"/>
      <c r="U1527" s="4"/>
      <c r="V1527" s="4"/>
      <c r="W1527" s="4"/>
      <c r="X1527" s="4"/>
      <c r="Y1527" s="4"/>
      <c r="Z1527" s="4"/>
      <c r="AA1527" s="4"/>
      <c r="AB1527" s="4"/>
      <c r="AC1527" s="4"/>
      <c r="AD1527" s="4"/>
      <c r="AE1527" s="4"/>
      <c r="AF1527" s="4"/>
      <c r="AG1527" s="4"/>
      <c r="AH1527" s="4"/>
      <c r="AI1527" s="4"/>
      <c r="AJ1527" s="4"/>
      <c r="AK1527" s="4"/>
      <c r="AL1527" s="4"/>
      <c r="AM1527" s="4"/>
      <c r="AN1527" s="4"/>
      <c r="AO1527" s="4"/>
      <c r="AP1527" s="4"/>
      <c r="AQ1527" s="4"/>
      <c r="AR1527" s="4"/>
      <c r="AS1527" s="4"/>
      <c r="AT1527" s="4"/>
      <c r="AU1527" s="4"/>
      <c r="AV1527" s="4"/>
      <c r="AW1527" s="4"/>
      <c r="AX1527" s="4"/>
      <c r="AY1527" s="4"/>
      <c r="AZ1527" s="4"/>
      <c r="BA1527" s="4"/>
      <c r="BB1527" s="4"/>
      <c r="BC1527" s="4"/>
      <c r="BD1527" s="4"/>
      <c r="BE1527" s="4"/>
      <c r="BF1527" s="4"/>
      <c r="BG1527" s="4"/>
      <c r="BH1527" s="4"/>
      <c r="BI1527" s="4"/>
      <c r="BJ1527" s="4"/>
      <c r="BK1527" s="4"/>
      <c r="BL1527" s="4"/>
      <c r="BM1527" s="4"/>
      <c r="BN1527" s="4"/>
      <c r="BO1527" s="4"/>
      <c r="BP1527" s="4"/>
      <c r="BQ1527" s="4"/>
      <c r="BR1527" s="4"/>
      <c r="BS1527" s="4"/>
      <c r="BT1527" s="4"/>
      <c r="BU1527" s="4"/>
      <c r="BV1527" s="4"/>
      <c r="BW1527" s="4"/>
      <c r="BX1527" s="4"/>
      <c r="BY1527" s="4"/>
      <c r="BZ1527" s="4"/>
      <c r="CA1527" s="4"/>
      <c r="CB1527" s="4"/>
      <c r="CC1527" s="4"/>
      <c r="CD1527" s="4"/>
      <c r="CE1527" s="4"/>
      <c r="CF1527" s="4"/>
      <c r="CG1527" s="4"/>
      <c r="CH1527" s="4"/>
      <c r="CI1527" s="4"/>
      <c r="CJ1527" s="4"/>
      <c r="CK1527" s="4"/>
      <c r="CL1527" s="4"/>
      <c r="CM1527" s="4"/>
      <c r="CN1527" s="4"/>
      <c r="CO1527" s="4"/>
      <c r="CP1527" s="4"/>
      <c r="CQ1527" s="4"/>
      <c r="CR1527" s="4"/>
      <c r="CS1527" s="4"/>
      <c r="CT1527" s="4"/>
      <c r="CU1527" s="4"/>
      <c r="CV1527" s="4"/>
      <c r="CW1527" s="4"/>
      <c r="CX1527" s="4"/>
      <c r="CY1527" s="4"/>
      <c r="CZ1527" s="4"/>
      <c r="DA1527" s="4"/>
      <c r="DB1527" s="4"/>
      <c r="DC1527" s="4"/>
      <c r="DD1527" s="4"/>
      <c r="DE1527" s="4"/>
      <c r="DF1527" s="4"/>
      <c r="DG1527" s="4"/>
      <c r="DH1527" s="4"/>
      <c r="DI1527" s="4"/>
      <c r="DJ1527" s="4"/>
      <c r="DK1527" s="4"/>
      <c r="DL1527" s="4"/>
      <c r="DM1527" s="4"/>
      <c r="DN1527" s="4"/>
      <c r="DO1527" s="4"/>
      <c r="DP1527" s="4"/>
      <c r="DQ1527" s="4"/>
      <c r="DR1527" s="4"/>
    </row>
    <row r="1528" spans="1:122" x14ac:dyDescent="0.25">
      <c r="A1528" s="2" t="s">
        <v>15</v>
      </c>
      <c r="B1528" s="2" t="str">
        <f>"FES1162769343"</f>
        <v>FES1162769343</v>
      </c>
      <c r="C1528" s="2" t="s">
        <v>1084</v>
      </c>
      <c r="D1528" s="2">
        <v>1</v>
      </c>
      <c r="E1528" s="2" t="str">
        <f>"2170756252"</f>
        <v>2170756252</v>
      </c>
      <c r="F1528" s="2" t="s">
        <v>17</v>
      </c>
      <c r="G1528" s="2" t="s">
        <v>18</v>
      </c>
      <c r="H1528" s="2" t="s">
        <v>36</v>
      </c>
      <c r="I1528" s="2" t="s">
        <v>134</v>
      </c>
      <c r="J1528" s="2" t="s">
        <v>1228</v>
      </c>
      <c r="K1528" s="2" t="s">
        <v>1190</v>
      </c>
      <c r="L1528" s="3">
        <v>0.3888888888888889</v>
      </c>
      <c r="M1528" s="2" t="s">
        <v>1271</v>
      </c>
      <c r="N1528" s="2" t="s">
        <v>500</v>
      </c>
      <c r="O1528" s="2"/>
      <c r="P1528" s="4"/>
      <c r="Q1528" s="4"/>
      <c r="R1528" s="4"/>
      <c r="S1528" s="4"/>
      <c r="T1528" s="4"/>
      <c r="U1528" s="4"/>
      <c r="V1528" s="4"/>
      <c r="W1528" s="4"/>
      <c r="X1528" s="4"/>
      <c r="Y1528" s="4"/>
      <c r="Z1528" s="4"/>
      <c r="AA1528" s="4"/>
      <c r="AB1528" s="4"/>
      <c r="AC1528" s="4"/>
      <c r="AD1528" s="4"/>
      <c r="AE1528" s="4"/>
      <c r="AF1528" s="4"/>
      <c r="AG1528" s="4"/>
      <c r="AH1528" s="4"/>
      <c r="AI1528" s="4"/>
      <c r="AJ1528" s="4"/>
      <c r="AK1528" s="4"/>
      <c r="AL1528" s="4"/>
      <c r="AM1528" s="4"/>
      <c r="AN1528" s="4"/>
      <c r="AO1528" s="4"/>
      <c r="AP1528" s="4"/>
      <c r="AQ1528" s="4"/>
      <c r="AR1528" s="4"/>
      <c r="AS1528" s="4"/>
      <c r="AT1528" s="4"/>
      <c r="AU1528" s="4"/>
      <c r="AV1528" s="4"/>
      <c r="AW1528" s="4"/>
      <c r="AX1528" s="4"/>
      <c r="AY1528" s="4"/>
      <c r="AZ1528" s="4"/>
      <c r="BA1528" s="4"/>
      <c r="BB1528" s="4"/>
      <c r="BC1528" s="4"/>
      <c r="BD1528" s="4"/>
      <c r="BE1528" s="4"/>
      <c r="BF1528" s="4"/>
      <c r="BG1528" s="4"/>
      <c r="BH1528" s="4"/>
      <c r="BI1528" s="4"/>
      <c r="BJ1528" s="4"/>
      <c r="BK1528" s="4"/>
      <c r="BL1528" s="4"/>
      <c r="BM1528" s="4"/>
      <c r="BN1528" s="4"/>
      <c r="BO1528" s="4"/>
      <c r="BP1528" s="4"/>
      <c r="BQ1528" s="4"/>
      <c r="BR1528" s="4"/>
      <c r="BS1528" s="4"/>
      <c r="BT1528" s="4"/>
      <c r="BU1528" s="4"/>
      <c r="BV1528" s="4"/>
      <c r="BW1528" s="4"/>
      <c r="BX1528" s="4"/>
      <c r="BY1528" s="4"/>
      <c r="BZ1528" s="4"/>
      <c r="CA1528" s="4"/>
      <c r="CB1528" s="4"/>
      <c r="CC1528" s="4"/>
      <c r="CD1528" s="4"/>
      <c r="CE1528" s="4"/>
      <c r="CF1528" s="4"/>
      <c r="CG1528" s="4"/>
      <c r="CH1528" s="4"/>
      <c r="CI1528" s="4"/>
      <c r="CJ1528" s="4"/>
      <c r="CK1528" s="4"/>
      <c r="CL1528" s="4"/>
      <c r="CM1528" s="4"/>
      <c r="CN1528" s="4"/>
      <c r="CO1528" s="4"/>
      <c r="CP1528" s="4"/>
      <c r="CQ1528" s="4"/>
      <c r="CR1528" s="4"/>
      <c r="CS1528" s="4"/>
      <c r="CT1528" s="4"/>
      <c r="CU1528" s="4"/>
      <c r="CV1528" s="4"/>
      <c r="CW1528" s="4"/>
      <c r="CX1528" s="4"/>
      <c r="CY1528" s="4"/>
      <c r="CZ1528" s="4"/>
      <c r="DA1528" s="4"/>
      <c r="DB1528" s="4"/>
      <c r="DC1528" s="4"/>
      <c r="DD1528" s="4"/>
      <c r="DE1528" s="4"/>
      <c r="DF1528" s="4"/>
      <c r="DG1528" s="4"/>
      <c r="DH1528" s="4"/>
      <c r="DI1528" s="4"/>
      <c r="DJ1528" s="4"/>
      <c r="DK1528" s="4"/>
      <c r="DL1528" s="4"/>
      <c r="DM1528" s="4"/>
      <c r="DN1528" s="4"/>
      <c r="DO1528" s="4"/>
      <c r="DP1528" s="4"/>
      <c r="DQ1528" s="4"/>
      <c r="DR1528" s="4"/>
    </row>
    <row r="1529" spans="1:122" x14ac:dyDescent="0.25">
      <c r="A1529" s="2" t="s">
        <v>15</v>
      </c>
      <c r="B1529" s="2" t="str">
        <f>"FES1162769288"</f>
        <v>FES1162769288</v>
      </c>
      <c r="C1529" s="2" t="s">
        <v>1084</v>
      </c>
      <c r="D1529" s="2">
        <v>1</v>
      </c>
      <c r="E1529" s="2" t="str">
        <f>"2170754613"</f>
        <v>2170754613</v>
      </c>
      <c r="F1529" s="2" t="s">
        <v>17</v>
      </c>
      <c r="G1529" s="2" t="s">
        <v>18</v>
      </c>
      <c r="H1529" s="2" t="s">
        <v>36</v>
      </c>
      <c r="I1529" s="2" t="s">
        <v>37</v>
      </c>
      <c r="J1529" s="2" t="s">
        <v>102</v>
      </c>
      <c r="K1529" s="2" t="s">
        <v>1190</v>
      </c>
      <c r="L1529" s="3">
        <v>0.3979166666666667</v>
      </c>
      <c r="M1529" s="2" t="s">
        <v>219</v>
      </c>
      <c r="N1529" s="2" t="s">
        <v>500</v>
      </c>
      <c r="O1529" s="2"/>
      <c r="P1529" s="4"/>
      <c r="Q1529" s="4"/>
      <c r="R1529" s="4"/>
      <c r="S1529" s="4"/>
      <c r="T1529" s="4"/>
      <c r="U1529" s="4"/>
      <c r="V1529" s="4"/>
      <c r="W1529" s="4"/>
      <c r="X1529" s="4"/>
      <c r="Y1529" s="4"/>
      <c r="Z1529" s="4"/>
      <c r="AA1529" s="4"/>
      <c r="AB1529" s="4"/>
      <c r="AC1529" s="4"/>
      <c r="AD1529" s="4"/>
      <c r="AE1529" s="4"/>
      <c r="AF1529" s="4"/>
      <c r="AG1529" s="4"/>
      <c r="AH1529" s="4"/>
      <c r="AI1529" s="4"/>
      <c r="AJ1529" s="4"/>
      <c r="AK1529" s="4"/>
      <c r="AL1529" s="4"/>
      <c r="AM1529" s="4"/>
      <c r="AN1529" s="4"/>
      <c r="AO1529" s="4"/>
      <c r="AP1529" s="4"/>
      <c r="AQ1529" s="4"/>
      <c r="AR1529" s="4"/>
      <c r="AS1529" s="4"/>
      <c r="AT1529" s="4"/>
      <c r="AU1529" s="4"/>
      <c r="AV1529" s="4"/>
      <c r="AW1529" s="4"/>
      <c r="AX1529" s="4"/>
      <c r="AY1529" s="4"/>
      <c r="AZ1529" s="4"/>
      <c r="BA1529" s="4"/>
      <c r="BB1529" s="4"/>
      <c r="BC1529" s="4"/>
      <c r="BD1529" s="4"/>
      <c r="BE1529" s="4"/>
      <c r="BF1529" s="4"/>
      <c r="BG1529" s="4"/>
      <c r="BH1529" s="4"/>
      <c r="BI1529" s="4"/>
      <c r="BJ1529" s="4"/>
      <c r="BK1529" s="4"/>
      <c r="BL1529" s="4"/>
      <c r="BM1529" s="4"/>
      <c r="BN1529" s="4"/>
      <c r="BO1529" s="4"/>
      <c r="BP1529" s="4"/>
      <c r="BQ1529" s="4"/>
      <c r="BR1529" s="4"/>
      <c r="BS1529" s="4"/>
      <c r="BT1529" s="4"/>
      <c r="BU1529" s="4"/>
      <c r="BV1529" s="4"/>
      <c r="BW1529" s="4"/>
      <c r="BX1529" s="4"/>
      <c r="BY1529" s="4"/>
      <c r="BZ1529" s="4"/>
      <c r="CA1529" s="4"/>
      <c r="CB1529" s="4"/>
      <c r="CC1529" s="4"/>
      <c r="CD1529" s="4"/>
      <c r="CE1529" s="4"/>
      <c r="CF1529" s="4"/>
      <c r="CG1529" s="4"/>
      <c r="CH1529" s="4"/>
      <c r="CI1529" s="4"/>
      <c r="CJ1529" s="4"/>
      <c r="CK1529" s="4"/>
      <c r="CL1529" s="4"/>
      <c r="CM1529" s="4"/>
      <c r="CN1529" s="4"/>
      <c r="CO1529" s="4"/>
      <c r="CP1529" s="4"/>
      <c r="CQ1529" s="4"/>
      <c r="CR1529" s="4"/>
      <c r="CS1529" s="4"/>
      <c r="CT1529" s="4"/>
      <c r="CU1529" s="4"/>
      <c r="CV1529" s="4"/>
      <c r="CW1529" s="4"/>
      <c r="CX1529" s="4"/>
      <c r="CY1529" s="4"/>
      <c r="CZ1529" s="4"/>
      <c r="DA1529" s="4"/>
      <c r="DB1529" s="4"/>
      <c r="DC1529" s="4"/>
      <c r="DD1529" s="4"/>
      <c r="DE1529" s="4"/>
      <c r="DF1529" s="4"/>
      <c r="DG1529" s="4"/>
      <c r="DH1529" s="4"/>
      <c r="DI1529" s="4"/>
      <c r="DJ1529" s="4"/>
      <c r="DK1529" s="4"/>
      <c r="DL1529" s="4"/>
      <c r="DM1529" s="4"/>
      <c r="DN1529" s="4"/>
      <c r="DO1529" s="4"/>
      <c r="DP1529" s="4"/>
      <c r="DQ1529" s="4"/>
      <c r="DR1529" s="4"/>
    </row>
    <row r="1530" spans="1:122" x14ac:dyDescent="0.25">
      <c r="A1530" s="2" t="s">
        <v>15</v>
      </c>
      <c r="B1530" s="2" t="str">
        <f>"FES1162769064"</f>
        <v>FES1162769064</v>
      </c>
      <c r="C1530" s="2" t="s">
        <v>1084</v>
      </c>
      <c r="D1530" s="2">
        <v>1</v>
      </c>
      <c r="E1530" s="2" t="str">
        <f>"2170752459"</f>
        <v>2170752459</v>
      </c>
      <c r="F1530" s="2" t="s">
        <v>17</v>
      </c>
      <c r="G1530" s="2" t="s">
        <v>18</v>
      </c>
      <c r="H1530" s="2" t="s">
        <v>36</v>
      </c>
      <c r="I1530" s="2" t="s">
        <v>37</v>
      </c>
      <c r="J1530" s="2" t="s">
        <v>162</v>
      </c>
      <c r="K1530" s="2" t="s">
        <v>1190</v>
      </c>
      <c r="L1530" s="3">
        <v>0.33333333333333331</v>
      </c>
      <c r="M1530" s="2" t="s">
        <v>268</v>
      </c>
      <c r="N1530" s="2" t="s">
        <v>500</v>
      </c>
      <c r="O1530" s="2"/>
      <c r="P1530" s="4"/>
      <c r="Q1530" s="4"/>
      <c r="R1530" s="4"/>
      <c r="S1530" s="4"/>
      <c r="T1530" s="4"/>
      <c r="U1530" s="4"/>
      <c r="V1530" s="4"/>
      <c r="W1530" s="4"/>
      <c r="X1530" s="4"/>
      <c r="Y1530" s="4"/>
      <c r="Z1530" s="4"/>
      <c r="AA1530" s="4"/>
      <c r="AB1530" s="4"/>
      <c r="AC1530" s="4"/>
      <c r="AD1530" s="4"/>
      <c r="AE1530" s="4"/>
      <c r="AF1530" s="4"/>
      <c r="AG1530" s="4"/>
      <c r="AH1530" s="4"/>
      <c r="AI1530" s="4"/>
      <c r="AJ1530" s="4"/>
      <c r="AK1530" s="4"/>
      <c r="AL1530" s="4"/>
      <c r="AM1530" s="4"/>
      <c r="AN1530" s="4"/>
      <c r="AO1530" s="4"/>
      <c r="AP1530" s="4"/>
      <c r="AQ1530" s="4"/>
      <c r="AR1530" s="4"/>
      <c r="AS1530" s="4"/>
      <c r="AT1530" s="4"/>
      <c r="AU1530" s="4"/>
      <c r="AV1530" s="4"/>
      <c r="AW1530" s="4"/>
      <c r="AX1530" s="4"/>
      <c r="AY1530" s="4"/>
      <c r="AZ1530" s="4"/>
      <c r="BA1530" s="4"/>
      <c r="BB1530" s="4"/>
      <c r="BC1530" s="4"/>
      <c r="BD1530" s="4"/>
      <c r="BE1530" s="4"/>
      <c r="BF1530" s="4"/>
      <c r="BG1530" s="4"/>
      <c r="BH1530" s="4"/>
      <c r="BI1530" s="4"/>
      <c r="BJ1530" s="4"/>
      <c r="BK1530" s="4"/>
      <c r="BL1530" s="4"/>
      <c r="BM1530" s="4"/>
      <c r="BN1530" s="4"/>
      <c r="BO1530" s="4"/>
      <c r="BP1530" s="4"/>
      <c r="BQ1530" s="4"/>
      <c r="BR1530" s="4"/>
      <c r="BS1530" s="4"/>
      <c r="BT1530" s="4"/>
      <c r="BU1530" s="4"/>
      <c r="BV1530" s="4"/>
      <c r="BW1530" s="4"/>
      <c r="BX1530" s="4"/>
      <c r="BY1530" s="4"/>
      <c r="BZ1530" s="4"/>
      <c r="CA1530" s="4"/>
      <c r="CB1530" s="4"/>
      <c r="CC1530" s="4"/>
      <c r="CD1530" s="4"/>
      <c r="CE1530" s="4"/>
      <c r="CF1530" s="4"/>
      <c r="CG1530" s="4"/>
      <c r="CH1530" s="4"/>
      <c r="CI1530" s="4"/>
      <c r="CJ1530" s="4"/>
      <c r="CK1530" s="4"/>
      <c r="CL1530" s="4"/>
      <c r="CM1530" s="4"/>
      <c r="CN1530" s="4"/>
      <c r="CO1530" s="4"/>
      <c r="CP1530" s="4"/>
      <c r="CQ1530" s="4"/>
      <c r="CR1530" s="4"/>
      <c r="CS1530" s="4"/>
      <c r="CT1530" s="4"/>
      <c r="CU1530" s="4"/>
      <c r="CV1530" s="4"/>
      <c r="CW1530" s="4"/>
      <c r="CX1530" s="4"/>
      <c r="CY1530" s="4"/>
      <c r="CZ1530" s="4"/>
      <c r="DA1530" s="4"/>
      <c r="DB1530" s="4"/>
      <c r="DC1530" s="4"/>
      <c r="DD1530" s="4"/>
      <c r="DE1530" s="4"/>
      <c r="DF1530" s="4"/>
      <c r="DG1530" s="4"/>
      <c r="DH1530" s="4"/>
      <c r="DI1530" s="4"/>
      <c r="DJ1530" s="4"/>
      <c r="DK1530" s="4"/>
      <c r="DL1530" s="4"/>
      <c r="DM1530" s="4"/>
      <c r="DN1530" s="4"/>
      <c r="DO1530" s="4"/>
      <c r="DP1530" s="4"/>
      <c r="DQ1530" s="4"/>
      <c r="DR1530" s="4"/>
    </row>
    <row r="1531" spans="1:122" x14ac:dyDescent="0.25">
      <c r="A1531" s="2" t="s">
        <v>15</v>
      </c>
      <c r="B1531" s="2" t="str">
        <f>"FES1162769355"</f>
        <v>FES1162769355</v>
      </c>
      <c r="C1531" s="2" t="s">
        <v>1084</v>
      </c>
      <c r="D1531" s="2">
        <v>1</v>
      </c>
      <c r="E1531" s="2" t="str">
        <f>"2170754127"</f>
        <v>2170754127</v>
      </c>
      <c r="F1531" s="2" t="s">
        <v>17</v>
      </c>
      <c r="G1531" s="2" t="s">
        <v>18</v>
      </c>
      <c r="H1531" s="2" t="s">
        <v>36</v>
      </c>
      <c r="I1531" s="2" t="s">
        <v>37</v>
      </c>
      <c r="J1531" s="2" t="s">
        <v>476</v>
      </c>
      <c r="K1531" s="2" t="s">
        <v>1190</v>
      </c>
      <c r="L1531" s="3">
        <v>0.41666666666666669</v>
      </c>
      <c r="M1531" s="2" t="s">
        <v>1064</v>
      </c>
      <c r="N1531" s="2" t="s">
        <v>500</v>
      </c>
      <c r="O1531" s="2"/>
      <c r="P1531" s="4"/>
      <c r="Q1531" s="4"/>
      <c r="R1531" s="4"/>
      <c r="S1531" s="4"/>
      <c r="T1531" s="4"/>
      <c r="U1531" s="4"/>
      <c r="V1531" s="4"/>
      <c r="W1531" s="4"/>
      <c r="X1531" s="4"/>
      <c r="Y1531" s="4"/>
      <c r="Z1531" s="4"/>
      <c r="AA1531" s="4"/>
      <c r="AB1531" s="4"/>
      <c r="AC1531" s="4"/>
      <c r="AD1531" s="4"/>
      <c r="AE1531" s="4"/>
      <c r="AF1531" s="4"/>
      <c r="AG1531" s="4"/>
      <c r="AH1531" s="4"/>
      <c r="AI1531" s="4"/>
      <c r="AJ1531" s="4"/>
      <c r="AK1531" s="4"/>
      <c r="AL1531" s="4"/>
      <c r="AM1531" s="4"/>
      <c r="AN1531" s="4"/>
      <c r="AO1531" s="4"/>
      <c r="AP1531" s="4"/>
      <c r="AQ1531" s="4"/>
      <c r="AR1531" s="4"/>
      <c r="AS1531" s="4"/>
      <c r="AT1531" s="4"/>
      <c r="AU1531" s="4"/>
      <c r="AV1531" s="4"/>
      <c r="AW1531" s="4"/>
      <c r="AX1531" s="4"/>
      <c r="AY1531" s="4"/>
      <c r="AZ1531" s="4"/>
      <c r="BA1531" s="4"/>
      <c r="BB1531" s="4"/>
      <c r="BC1531" s="4"/>
      <c r="BD1531" s="4"/>
      <c r="BE1531" s="4"/>
      <c r="BF1531" s="4"/>
      <c r="BG1531" s="4"/>
      <c r="BH1531" s="4"/>
      <c r="BI1531" s="4"/>
      <c r="BJ1531" s="4"/>
      <c r="BK1531" s="4"/>
      <c r="BL1531" s="4"/>
      <c r="BM1531" s="4"/>
      <c r="BN1531" s="4"/>
      <c r="BO1531" s="4"/>
      <c r="BP1531" s="4"/>
      <c r="BQ1531" s="4"/>
      <c r="BR1531" s="4"/>
      <c r="BS1531" s="4"/>
      <c r="BT1531" s="4"/>
      <c r="BU1531" s="4"/>
      <c r="BV1531" s="4"/>
      <c r="BW1531" s="4"/>
      <c r="BX1531" s="4"/>
      <c r="BY1531" s="4"/>
      <c r="BZ1531" s="4"/>
      <c r="CA1531" s="4"/>
      <c r="CB1531" s="4"/>
      <c r="CC1531" s="4"/>
      <c r="CD1531" s="4"/>
      <c r="CE1531" s="4"/>
      <c r="CF1531" s="4"/>
      <c r="CG1531" s="4"/>
      <c r="CH1531" s="4"/>
      <c r="CI1531" s="4"/>
      <c r="CJ1531" s="4"/>
      <c r="CK1531" s="4"/>
      <c r="CL1531" s="4"/>
      <c r="CM1531" s="4"/>
      <c r="CN1531" s="4"/>
      <c r="CO1531" s="4"/>
      <c r="CP1531" s="4"/>
      <c r="CQ1531" s="4"/>
      <c r="CR1531" s="4"/>
      <c r="CS1531" s="4"/>
      <c r="CT1531" s="4"/>
      <c r="CU1531" s="4"/>
      <c r="CV1531" s="4"/>
      <c r="CW1531" s="4"/>
      <c r="CX1531" s="4"/>
      <c r="CY1531" s="4"/>
      <c r="CZ1531" s="4"/>
      <c r="DA1531" s="4"/>
      <c r="DB1531" s="4"/>
      <c r="DC1531" s="4"/>
      <c r="DD1531" s="4"/>
      <c r="DE1531" s="4"/>
      <c r="DF1531" s="4"/>
      <c r="DG1531" s="4"/>
      <c r="DH1531" s="4"/>
      <c r="DI1531" s="4"/>
      <c r="DJ1531" s="4"/>
      <c r="DK1531" s="4"/>
      <c r="DL1531" s="4"/>
      <c r="DM1531" s="4"/>
      <c r="DN1531" s="4"/>
      <c r="DO1531" s="4"/>
      <c r="DP1531" s="4"/>
      <c r="DQ1531" s="4"/>
      <c r="DR1531" s="4"/>
    </row>
    <row r="1532" spans="1:122" x14ac:dyDescent="0.25">
      <c r="A1532" s="2" t="s">
        <v>15</v>
      </c>
      <c r="B1532" s="2" t="str">
        <f>"FES1162769350"</f>
        <v>FES1162769350</v>
      </c>
      <c r="C1532" s="2" t="s">
        <v>1084</v>
      </c>
      <c r="D1532" s="2">
        <v>1</v>
      </c>
      <c r="E1532" s="2" t="str">
        <f>"2170755679"</f>
        <v>2170755679</v>
      </c>
      <c r="F1532" s="2" t="s">
        <v>17</v>
      </c>
      <c r="G1532" s="2" t="s">
        <v>18</v>
      </c>
      <c r="H1532" s="2" t="s">
        <v>33</v>
      </c>
      <c r="I1532" s="2" t="s">
        <v>34</v>
      </c>
      <c r="J1532" s="2" t="s">
        <v>400</v>
      </c>
      <c r="K1532" s="2" t="s">
        <v>1190</v>
      </c>
      <c r="L1532" s="3">
        <v>0.43333333333333335</v>
      </c>
      <c r="M1532" s="2" t="s">
        <v>706</v>
      </c>
      <c r="N1532" s="2" t="s">
        <v>500</v>
      </c>
      <c r="O1532" s="2"/>
      <c r="P1532" s="4"/>
      <c r="Q1532" s="4"/>
      <c r="R1532" s="4"/>
      <c r="S1532" s="4"/>
      <c r="T1532" s="4"/>
      <c r="U1532" s="4"/>
      <c r="V1532" s="4"/>
      <c r="W1532" s="4"/>
      <c r="X1532" s="4"/>
      <c r="Y1532" s="4"/>
      <c r="Z1532" s="4"/>
      <c r="AA1532" s="4"/>
      <c r="AB1532" s="4"/>
      <c r="AC1532" s="4"/>
      <c r="AD1532" s="4"/>
      <c r="AE1532" s="4"/>
      <c r="AF1532" s="4"/>
      <c r="AG1532" s="4"/>
      <c r="AH1532" s="4"/>
      <c r="AI1532" s="4"/>
      <c r="AJ1532" s="4"/>
      <c r="AK1532" s="4"/>
      <c r="AL1532" s="4"/>
      <c r="AM1532" s="4"/>
      <c r="AN1532" s="4"/>
      <c r="AO1532" s="4"/>
      <c r="AP1532" s="4"/>
      <c r="AQ1532" s="4"/>
      <c r="AR1532" s="4"/>
      <c r="AS1532" s="4"/>
      <c r="AT1532" s="4"/>
      <c r="AU1532" s="4"/>
      <c r="AV1532" s="4"/>
      <c r="AW1532" s="4"/>
      <c r="AX1532" s="4"/>
      <c r="AY1532" s="4"/>
      <c r="AZ1532" s="4"/>
      <c r="BA1532" s="4"/>
      <c r="BB1532" s="4"/>
      <c r="BC1532" s="4"/>
      <c r="BD1532" s="4"/>
      <c r="BE1532" s="4"/>
      <c r="BF1532" s="4"/>
      <c r="BG1532" s="4"/>
      <c r="BH1532" s="4"/>
      <c r="BI1532" s="4"/>
      <c r="BJ1532" s="4"/>
      <c r="BK1532" s="4"/>
      <c r="BL1532" s="4"/>
      <c r="BM1532" s="4"/>
      <c r="BN1532" s="4"/>
      <c r="BO1532" s="4"/>
      <c r="BP1532" s="4"/>
      <c r="BQ1532" s="4"/>
      <c r="BR1532" s="4"/>
      <c r="BS1532" s="4"/>
      <c r="BT1532" s="4"/>
      <c r="BU1532" s="4"/>
      <c r="BV1532" s="4"/>
      <c r="BW1532" s="4"/>
      <c r="BX1532" s="4"/>
      <c r="BY1532" s="4"/>
      <c r="BZ1532" s="4"/>
      <c r="CA1532" s="4"/>
      <c r="CB1532" s="4"/>
      <c r="CC1532" s="4"/>
      <c r="CD1532" s="4"/>
      <c r="CE1532" s="4"/>
      <c r="CF1532" s="4"/>
      <c r="CG1532" s="4"/>
      <c r="CH1532" s="4"/>
      <c r="CI1532" s="4"/>
      <c r="CJ1532" s="4"/>
      <c r="CK1532" s="4"/>
      <c r="CL1532" s="4"/>
      <c r="CM1532" s="4"/>
      <c r="CN1532" s="4"/>
      <c r="CO1532" s="4"/>
      <c r="CP1532" s="4"/>
      <c r="CQ1532" s="4"/>
      <c r="CR1532" s="4"/>
      <c r="CS1532" s="4"/>
      <c r="CT1532" s="4"/>
      <c r="CU1532" s="4"/>
      <c r="CV1532" s="4"/>
      <c r="CW1532" s="4"/>
      <c r="CX1532" s="4"/>
      <c r="CY1532" s="4"/>
      <c r="CZ1532" s="4"/>
      <c r="DA1532" s="4"/>
      <c r="DB1532" s="4"/>
      <c r="DC1532" s="4"/>
      <c r="DD1532" s="4"/>
      <c r="DE1532" s="4"/>
      <c r="DF1532" s="4"/>
      <c r="DG1532" s="4"/>
      <c r="DH1532" s="4"/>
      <c r="DI1532" s="4"/>
      <c r="DJ1532" s="4"/>
      <c r="DK1532" s="4"/>
      <c r="DL1532" s="4"/>
      <c r="DM1532" s="4"/>
      <c r="DN1532" s="4"/>
      <c r="DO1532" s="4"/>
      <c r="DP1532" s="4"/>
      <c r="DQ1532" s="4"/>
      <c r="DR1532" s="4"/>
    </row>
    <row r="1533" spans="1:122" s="11" customFormat="1" x14ac:dyDescent="0.25">
      <c r="A1533" s="5" t="s">
        <v>15</v>
      </c>
      <c r="B1533" s="5" t="str">
        <f>"FES1162769304"</f>
        <v>FES1162769304</v>
      </c>
      <c r="C1533" s="5" t="s">
        <v>1084</v>
      </c>
      <c r="D1533" s="5">
        <v>1</v>
      </c>
      <c r="E1533" s="5" t="str">
        <f>"2170754698"</f>
        <v>2170754698</v>
      </c>
      <c r="F1533" s="5" t="s">
        <v>17</v>
      </c>
      <c r="G1533" s="5" t="s">
        <v>18</v>
      </c>
      <c r="H1533" s="5" t="s">
        <v>36</v>
      </c>
      <c r="I1533" s="5" t="s">
        <v>1129</v>
      </c>
      <c r="J1533" s="5" t="s">
        <v>1130</v>
      </c>
      <c r="K1533" s="5" t="s">
        <v>1266</v>
      </c>
      <c r="L1533" s="9">
        <v>0.51388888888888895</v>
      </c>
      <c r="M1533" s="5" t="s">
        <v>1825</v>
      </c>
      <c r="N1533" s="5" t="s">
        <v>500</v>
      </c>
      <c r="O1533" s="5"/>
      <c r="P1533" s="4"/>
      <c r="Q1533" s="4"/>
      <c r="R1533" s="4"/>
      <c r="S1533" s="4"/>
      <c r="T1533" s="4"/>
      <c r="U1533" s="4"/>
      <c r="V1533" s="4"/>
      <c r="W1533" s="4"/>
      <c r="X1533" s="4"/>
      <c r="Y1533" s="4"/>
      <c r="Z1533" s="4"/>
      <c r="AA1533" s="4"/>
      <c r="AB1533" s="4"/>
      <c r="AC1533" s="4"/>
      <c r="AD1533" s="4"/>
      <c r="AE1533" s="4"/>
      <c r="AF1533" s="4"/>
      <c r="AG1533" s="4"/>
      <c r="AH1533" s="4"/>
      <c r="AI1533" s="4"/>
      <c r="AJ1533" s="4"/>
      <c r="AK1533" s="4"/>
      <c r="AL1533" s="4"/>
      <c r="AM1533" s="4"/>
      <c r="AN1533" s="4"/>
      <c r="AO1533" s="4"/>
      <c r="AP1533" s="4"/>
      <c r="AQ1533" s="4"/>
      <c r="AR1533" s="4"/>
      <c r="AS1533" s="4"/>
      <c r="AT1533" s="4"/>
      <c r="AU1533" s="4"/>
      <c r="AV1533" s="4"/>
      <c r="AW1533" s="4"/>
      <c r="AX1533" s="4"/>
      <c r="AY1533" s="4"/>
      <c r="AZ1533" s="4"/>
      <c r="BA1533" s="4"/>
      <c r="BB1533" s="4"/>
      <c r="BC1533" s="4"/>
      <c r="BD1533" s="4"/>
      <c r="BE1533" s="4"/>
      <c r="BF1533" s="4"/>
      <c r="BG1533" s="4"/>
      <c r="BH1533" s="4"/>
      <c r="BI1533" s="4"/>
      <c r="BJ1533" s="4"/>
      <c r="BK1533" s="4"/>
      <c r="BL1533" s="4"/>
      <c r="BM1533" s="4"/>
      <c r="BN1533" s="4"/>
      <c r="BO1533" s="4"/>
      <c r="BP1533" s="4"/>
      <c r="BQ1533" s="4"/>
      <c r="BR1533" s="4"/>
      <c r="BS1533" s="4"/>
      <c r="BT1533" s="4"/>
      <c r="BU1533" s="4"/>
      <c r="BV1533" s="4"/>
      <c r="BW1533" s="4"/>
      <c r="BX1533" s="4"/>
      <c r="BY1533" s="4"/>
      <c r="BZ1533" s="4"/>
      <c r="CA1533" s="4"/>
      <c r="CB1533" s="4"/>
      <c r="CC1533" s="4"/>
      <c r="CD1533" s="4"/>
      <c r="CE1533" s="4"/>
      <c r="CF1533" s="4"/>
      <c r="CG1533" s="4"/>
      <c r="CH1533" s="4"/>
      <c r="CI1533" s="4"/>
      <c r="CJ1533" s="4"/>
      <c r="CK1533" s="4"/>
      <c r="CL1533" s="4"/>
      <c r="CM1533" s="4"/>
      <c r="CN1533" s="4"/>
      <c r="CO1533" s="4"/>
      <c r="CP1533" s="4"/>
      <c r="CQ1533" s="4"/>
      <c r="CR1533" s="4"/>
      <c r="CS1533" s="4"/>
      <c r="CT1533" s="4"/>
      <c r="CU1533" s="4"/>
      <c r="CV1533" s="4"/>
      <c r="CW1533" s="4"/>
      <c r="CX1533" s="4"/>
      <c r="CY1533" s="4"/>
      <c r="CZ1533" s="4"/>
      <c r="DA1533" s="4"/>
      <c r="DB1533" s="4"/>
      <c r="DC1533" s="4"/>
      <c r="DD1533" s="4"/>
      <c r="DE1533" s="4"/>
      <c r="DF1533" s="4"/>
      <c r="DG1533" s="4"/>
      <c r="DH1533" s="4"/>
      <c r="DI1533" s="4"/>
      <c r="DJ1533" s="4"/>
      <c r="DK1533" s="4"/>
      <c r="DL1533" s="4"/>
      <c r="DM1533" s="4"/>
      <c r="DN1533" s="4"/>
      <c r="DO1533" s="4"/>
      <c r="DP1533" s="4"/>
      <c r="DQ1533" s="4"/>
      <c r="DR1533" s="4"/>
    </row>
    <row r="1534" spans="1:122" x14ac:dyDescent="0.25">
      <c r="A1534" s="2" t="s">
        <v>15</v>
      </c>
      <c r="B1534" s="2" t="str">
        <f>"FES1162769359"</f>
        <v>FES1162769359</v>
      </c>
      <c r="C1534" s="2" t="s">
        <v>1084</v>
      </c>
      <c r="D1534" s="2">
        <v>1</v>
      </c>
      <c r="E1534" s="2" t="str">
        <f>"2170753016"</f>
        <v>2170753016</v>
      </c>
      <c r="F1534" s="2" t="s">
        <v>17</v>
      </c>
      <c r="G1534" s="2" t="s">
        <v>18</v>
      </c>
      <c r="H1534" s="2" t="s">
        <v>78</v>
      </c>
      <c r="I1534" s="2" t="s">
        <v>1229</v>
      </c>
      <c r="J1534" s="2" t="s">
        <v>1230</v>
      </c>
      <c r="K1534" s="2" t="s">
        <v>1190</v>
      </c>
      <c r="L1534" s="3">
        <v>0.53402777777777777</v>
      </c>
      <c r="M1534" s="2" t="s">
        <v>1272</v>
      </c>
      <c r="N1534" s="2" t="s">
        <v>500</v>
      </c>
      <c r="O1534" s="2"/>
      <c r="P1534" s="4"/>
      <c r="Q1534" s="4"/>
      <c r="R1534" s="4"/>
      <c r="S1534" s="4"/>
      <c r="T1534" s="4"/>
      <c r="U1534" s="4"/>
      <c r="V1534" s="4"/>
      <c r="W1534" s="4"/>
      <c r="X1534" s="4"/>
      <c r="Y1534" s="4"/>
      <c r="Z1534" s="4"/>
      <c r="AA1534" s="4"/>
      <c r="AB1534" s="4"/>
      <c r="AC1534" s="4"/>
      <c r="AD1534" s="4"/>
      <c r="AE1534" s="4"/>
      <c r="AF1534" s="4"/>
      <c r="AG1534" s="4"/>
      <c r="AH1534" s="4"/>
      <c r="AI1534" s="4"/>
      <c r="AJ1534" s="4"/>
      <c r="AK1534" s="4"/>
      <c r="AL1534" s="4"/>
      <c r="AM1534" s="4"/>
      <c r="AN1534" s="4"/>
      <c r="AO1534" s="4"/>
      <c r="AP1534" s="4"/>
      <c r="AQ1534" s="4"/>
      <c r="AR1534" s="4"/>
      <c r="AS1534" s="4"/>
      <c r="AT1534" s="4"/>
      <c r="AU1534" s="4"/>
      <c r="AV1534" s="4"/>
      <c r="AW1534" s="4"/>
      <c r="AX1534" s="4"/>
      <c r="AY1534" s="4"/>
      <c r="AZ1534" s="4"/>
      <c r="BA1534" s="4"/>
      <c r="BB1534" s="4"/>
      <c r="BC1534" s="4"/>
      <c r="BD1534" s="4"/>
      <c r="BE1534" s="4"/>
      <c r="BF1534" s="4"/>
      <c r="BG1534" s="4"/>
      <c r="BH1534" s="4"/>
      <c r="BI1534" s="4"/>
      <c r="BJ1534" s="4"/>
      <c r="BK1534" s="4"/>
      <c r="BL1534" s="4"/>
      <c r="BM1534" s="4"/>
      <c r="BN1534" s="4"/>
      <c r="BO1534" s="4"/>
      <c r="BP1534" s="4"/>
      <c r="BQ1534" s="4"/>
      <c r="BR1534" s="4"/>
      <c r="BS1534" s="4"/>
      <c r="BT1534" s="4"/>
      <c r="BU1534" s="4"/>
      <c r="BV1534" s="4"/>
      <c r="BW1534" s="4"/>
      <c r="BX1534" s="4"/>
      <c r="BY1534" s="4"/>
      <c r="BZ1534" s="4"/>
      <c r="CA1534" s="4"/>
      <c r="CB1534" s="4"/>
      <c r="CC1534" s="4"/>
      <c r="CD1534" s="4"/>
      <c r="CE1534" s="4"/>
      <c r="CF1534" s="4"/>
      <c r="CG1534" s="4"/>
      <c r="CH1534" s="4"/>
      <c r="CI1534" s="4"/>
      <c r="CJ1534" s="4"/>
      <c r="CK1534" s="4"/>
      <c r="CL1534" s="4"/>
      <c r="CM1534" s="4"/>
      <c r="CN1534" s="4"/>
      <c r="CO1534" s="4"/>
      <c r="CP1534" s="4"/>
      <c r="CQ1534" s="4"/>
      <c r="CR1534" s="4"/>
      <c r="CS1534" s="4"/>
      <c r="CT1534" s="4"/>
      <c r="CU1534" s="4"/>
      <c r="CV1534" s="4"/>
      <c r="CW1534" s="4"/>
      <c r="CX1534" s="4"/>
      <c r="CY1534" s="4"/>
      <c r="CZ1534" s="4"/>
      <c r="DA1534" s="4"/>
      <c r="DB1534" s="4"/>
      <c r="DC1534" s="4"/>
      <c r="DD1534" s="4"/>
      <c r="DE1534" s="4"/>
      <c r="DF1534" s="4"/>
      <c r="DG1534" s="4"/>
      <c r="DH1534" s="4"/>
      <c r="DI1534" s="4"/>
      <c r="DJ1534" s="4"/>
      <c r="DK1534" s="4"/>
      <c r="DL1534" s="4"/>
      <c r="DM1534" s="4"/>
      <c r="DN1534" s="4"/>
      <c r="DO1534" s="4"/>
      <c r="DP1534" s="4"/>
      <c r="DQ1534" s="4"/>
      <c r="DR1534" s="4"/>
    </row>
    <row r="1535" spans="1:122" x14ac:dyDescent="0.25">
      <c r="A1535" s="2" t="s">
        <v>15</v>
      </c>
      <c r="B1535" s="2" t="str">
        <f>"FES1162769362"</f>
        <v>FES1162769362</v>
      </c>
      <c r="C1535" s="2" t="s">
        <v>1084</v>
      </c>
      <c r="D1535" s="2">
        <v>1</v>
      </c>
      <c r="E1535" s="2" t="str">
        <f>"2170755002"</f>
        <v>2170755002</v>
      </c>
      <c r="F1535" s="2" t="s">
        <v>17</v>
      </c>
      <c r="G1535" s="2" t="s">
        <v>18</v>
      </c>
      <c r="H1535" s="2" t="s">
        <v>78</v>
      </c>
      <c r="I1535" s="2" t="s">
        <v>1229</v>
      </c>
      <c r="J1535" s="2" t="s">
        <v>1230</v>
      </c>
      <c r="K1535" s="2" t="s">
        <v>1190</v>
      </c>
      <c r="L1535" s="3">
        <v>0.53402777777777777</v>
      </c>
      <c r="M1535" s="2" t="s">
        <v>1272</v>
      </c>
      <c r="N1535" s="2" t="s">
        <v>500</v>
      </c>
      <c r="O1535" s="2"/>
      <c r="P1535" s="4"/>
      <c r="Q1535" s="4"/>
      <c r="R1535" s="4"/>
      <c r="S1535" s="4"/>
      <c r="T1535" s="4"/>
      <c r="U1535" s="4"/>
      <c r="V1535" s="4"/>
      <c r="W1535" s="4"/>
      <c r="X1535" s="4"/>
      <c r="Y1535" s="4"/>
      <c r="Z1535" s="4"/>
      <c r="AA1535" s="4"/>
      <c r="AB1535" s="4"/>
      <c r="AC1535" s="4"/>
      <c r="AD1535" s="4"/>
      <c r="AE1535" s="4"/>
      <c r="AF1535" s="4"/>
      <c r="AG1535" s="4"/>
      <c r="AH1535" s="4"/>
      <c r="AI1535" s="4"/>
      <c r="AJ1535" s="4"/>
      <c r="AK1535" s="4"/>
      <c r="AL1535" s="4"/>
      <c r="AM1535" s="4"/>
      <c r="AN1535" s="4"/>
      <c r="AO1535" s="4"/>
      <c r="AP1535" s="4"/>
      <c r="AQ1535" s="4"/>
      <c r="AR1535" s="4"/>
      <c r="AS1535" s="4"/>
      <c r="AT1535" s="4"/>
      <c r="AU1535" s="4"/>
      <c r="AV1535" s="4"/>
      <c r="AW1535" s="4"/>
      <c r="AX1535" s="4"/>
      <c r="AY1535" s="4"/>
      <c r="AZ1535" s="4"/>
      <c r="BA1535" s="4"/>
      <c r="BB1535" s="4"/>
      <c r="BC1535" s="4"/>
      <c r="BD1535" s="4"/>
      <c r="BE1535" s="4"/>
      <c r="BF1535" s="4"/>
      <c r="BG1535" s="4"/>
      <c r="BH1535" s="4"/>
      <c r="BI1535" s="4"/>
      <c r="BJ1535" s="4"/>
      <c r="BK1535" s="4"/>
      <c r="BL1535" s="4"/>
      <c r="BM1535" s="4"/>
      <c r="BN1535" s="4"/>
      <c r="BO1535" s="4"/>
      <c r="BP1535" s="4"/>
      <c r="BQ1535" s="4"/>
      <c r="BR1535" s="4"/>
      <c r="BS1535" s="4"/>
      <c r="BT1535" s="4"/>
      <c r="BU1535" s="4"/>
      <c r="BV1535" s="4"/>
      <c r="BW1535" s="4"/>
      <c r="BX1535" s="4"/>
      <c r="BY1535" s="4"/>
      <c r="BZ1535" s="4"/>
      <c r="CA1535" s="4"/>
      <c r="CB1535" s="4"/>
      <c r="CC1535" s="4"/>
      <c r="CD1535" s="4"/>
      <c r="CE1535" s="4"/>
      <c r="CF1535" s="4"/>
      <c r="CG1535" s="4"/>
      <c r="CH1535" s="4"/>
      <c r="CI1535" s="4"/>
      <c r="CJ1535" s="4"/>
      <c r="CK1535" s="4"/>
      <c r="CL1535" s="4"/>
      <c r="CM1535" s="4"/>
      <c r="CN1535" s="4"/>
      <c r="CO1535" s="4"/>
      <c r="CP1535" s="4"/>
      <c r="CQ1535" s="4"/>
      <c r="CR1535" s="4"/>
      <c r="CS1535" s="4"/>
      <c r="CT1535" s="4"/>
      <c r="CU1535" s="4"/>
      <c r="CV1535" s="4"/>
      <c r="CW1535" s="4"/>
      <c r="CX1535" s="4"/>
      <c r="CY1535" s="4"/>
      <c r="CZ1535" s="4"/>
      <c r="DA1535" s="4"/>
      <c r="DB1535" s="4"/>
      <c r="DC1535" s="4"/>
      <c r="DD1535" s="4"/>
      <c r="DE1535" s="4"/>
      <c r="DF1535" s="4"/>
      <c r="DG1535" s="4"/>
      <c r="DH1535" s="4"/>
      <c r="DI1535" s="4"/>
      <c r="DJ1535" s="4"/>
      <c r="DK1535" s="4"/>
      <c r="DL1535" s="4"/>
      <c r="DM1535" s="4"/>
      <c r="DN1535" s="4"/>
      <c r="DO1535" s="4"/>
      <c r="DP1535" s="4"/>
      <c r="DQ1535" s="4"/>
      <c r="DR1535" s="4"/>
    </row>
    <row r="1536" spans="1:122" x14ac:dyDescent="0.25">
      <c r="A1536" s="2" t="s">
        <v>15</v>
      </c>
      <c r="B1536" s="2" t="str">
        <f>"FES1162769379"</f>
        <v>FES1162769379</v>
      </c>
      <c r="C1536" s="2" t="s">
        <v>1084</v>
      </c>
      <c r="D1536" s="2">
        <v>1</v>
      </c>
      <c r="E1536" s="2" t="str">
        <f>"2170756253"</f>
        <v>2170756253</v>
      </c>
      <c r="F1536" s="2" t="s">
        <v>17</v>
      </c>
      <c r="G1536" s="2" t="s">
        <v>18</v>
      </c>
      <c r="H1536" s="2" t="s">
        <v>19</v>
      </c>
      <c r="I1536" s="2" t="s">
        <v>20</v>
      </c>
      <c r="J1536" s="2" t="s">
        <v>767</v>
      </c>
      <c r="K1536" s="2" t="s">
        <v>1190</v>
      </c>
      <c r="L1536" s="3">
        <v>0.3354166666666667</v>
      </c>
      <c r="M1536" s="2" t="s">
        <v>1273</v>
      </c>
      <c r="N1536" s="2" t="s">
        <v>500</v>
      </c>
      <c r="O1536" s="2"/>
      <c r="P1536" s="4"/>
      <c r="Q1536" s="4"/>
      <c r="R1536" s="4"/>
      <c r="S1536" s="4"/>
      <c r="T1536" s="4"/>
      <c r="U1536" s="4"/>
      <c r="V1536" s="4"/>
      <c r="W1536" s="4"/>
      <c r="X1536" s="4"/>
      <c r="Y1536" s="4"/>
      <c r="Z1536" s="4"/>
      <c r="AA1536" s="4"/>
      <c r="AB1536" s="4"/>
      <c r="AC1536" s="4"/>
      <c r="AD1536" s="4"/>
      <c r="AE1536" s="4"/>
      <c r="AF1536" s="4"/>
      <c r="AG1536" s="4"/>
      <c r="AH1536" s="4"/>
      <c r="AI1536" s="4"/>
      <c r="AJ1536" s="4"/>
      <c r="AK1536" s="4"/>
      <c r="AL1536" s="4"/>
      <c r="AM1536" s="4"/>
      <c r="AN1536" s="4"/>
      <c r="AO1536" s="4"/>
      <c r="AP1536" s="4"/>
      <c r="AQ1536" s="4"/>
      <c r="AR1536" s="4"/>
      <c r="AS1536" s="4"/>
      <c r="AT1536" s="4"/>
      <c r="AU1536" s="4"/>
      <c r="AV1536" s="4"/>
      <c r="AW1536" s="4"/>
      <c r="AX1536" s="4"/>
      <c r="AY1536" s="4"/>
      <c r="AZ1536" s="4"/>
      <c r="BA1536" s="4"/>
      <c r="BB1536" s="4"/>
      <c r="BC1536" s="4"/>
      <c r="BD1536" s="4"/>
      <c r="BE1536" s="4"/>
      <c r="BF1536" s="4"/>
      <c r="BG1536" s="4"/>
      <c r="BH1536" s="4"/>
      <c r="BI1536" s="4"/>
      <c r="BJ1536" s="4"/>
      <c r="BK1536" s="4"/>
      <c r="BL1536" s="4"/>
      <c r="BM1536" s="4"/>
      <c r="BN1536" s="4"/>
      <c r="BO1536" s="4"/>
      <c r="BP1536" s="4"/>
      <c r="BQ1536" s="4"/>
      <c r="BR1536" s="4"/>
      <c r="BS1536" s="4"/>
      <c r="BT1536" s="4"/>
      <c r="BU1536" s="4"/>
      <c r="BV1536" s="4"/>
      <c r="BW1536" s="4"/>
      <c r="BX1536" s="4"/>
      <c r="BY1536" s="4"/>
      <c r="BZ1536" s="4"/>
      <c r="CA1536" s="4"/>
      <c r="CB1536" s="4"/>
      <c r="CC1536" s="4"/>
      <c r="CD1536" s="4"/>
      <c r="CE1536" s="4"/>
      <c r="CF1536" s="4"/>
      <c r="CG1536" s="4"/>
      <c r="CH1536" s="4"/>
      <c r="CI1536" s="4"/>
      <c r="CJ1536" s="4"/>
      <c r="CK1536" s="4"/>
      <c r="CL1536" s="4"/>
      <c r="CM1536" s="4"/>
      <c r="CN1536" s="4"/>
      <c r="CO1536" s="4"/>
      <c r="CP1536" s="4"/>
      <c r="CQ1536" s="4"/>
      <c r="CR1536" s="4"/>
      <c r="CS1536" s="4"/>
      <c r="CT1536" s="4"/>
      <c r="CU1536" s="4"/>
      <c r="CV1536" s="4"/>
      <c r="CW1536" s="4"/>
      <c r="CX1536" s="4"/>
      <c r="CY1536" s="4"/>
      <c r="CZ1536" s="4"/>
      <c r="DA1536" s="4"/>
      <c r="DB1536" s="4"/>
      <c r="DC1536" s="4"/>
      <c r="DD1536" s="4"/>
      <c r="DE1536" s="4"/>
      <c r="DF1536" s="4"/>
      <c r="DG1536" s="4"/>
      <c r="DH1536" s="4"/>
      <c r="DI1536" s="4"/>
      <c r="DJ1536" s="4"/>
      <c r="DK1536" s="4"/>
      <c r="DL1536" s="4"/>
      <c r="DM1536" s="4"/>
      <c r="DN1536" s="4"/>
      <c r="DO1536" s="4"/>
      <c r="DP1536" s="4"/>
      <c r="DQ1536" s="4"/>
      <c r="DR1536" s="4"/>
    </row>
    <row r="1537" spans="1:122" x14ac:dyDescent="0.25">
      <c r="A1537" s="2" t="s">
        <v>15</v>
      </c>
      <c r="B1537" s="2" t="str">
        <f>"FES1162769306"</f>
        <v>FES1162769306</v>
      </c>
      <c r="C1537" s="2" t="s">
        <v>1084</v>
      </c>
      <c r="D1537" s="2">
        <v>1</v>
      </c>
      <c r="E1537" s="2" t="str">
        <f>"2170754711"</f>
        <v>2170754711</v>
      </c>
      <c r="F1537" s="2" t="s">
        <v>205</v>
      </c>
      <c r="G1537" s="2" t="s">
        <v>206</v>
      </c>
      <c r="H1537" s="2" t="s">
        <v>19</v>
      </c>
      <c r="I1537" s="2" t="s">
        <v>20</v>
      </c>
      <c r="J1537" s="2" t="s">
        <v>281</v>
      </c>
      <c r="K1537" s="2" t="s">
        <v>1266</v>
      </c>
      <c r="L1537" s="3">
        <v>0.4291666666666667</v>
      </c>
      <c r="M1537" s="2" t="s">
        <v>812</v>
      </c>
      <c r="N1537" s="2" t="s">
        <v>500</v>
      </c>
      <c r="O1537" s="2"/>
      <c r="P1537" s="4"/>
      <c r="Q1537" s="4"/>
      <c r="R1537" s="4"/>
      <c r="S1537" s="4"/>
      <c r="T1537" s="4"/>
      <c r="U1537" s="4"/>
      <c r="V1537" s="4"/>
      <c r="W1537" s="4"/>
      <c r="X1537" s="4"/>
      <c r="Y1537" s="4"/>
      <c r="Z1537" s="4"/>
      <c r="AA1537" s="4"/>
      <c r="AB1537" s="4"/>
      <c r="AC1537" s="4"/>
      <c r="AD1537" s="4"/>
      <c r="AE1537" s="4"/>
      <c r="AF1537" s="4"/>
      <c r="AG1537" s="4"/>
      <c r="AH1537" s="4"/>
      <c r="AI1537" s="4"/>
      <c r="AJ1537" s="4"/>
      <c r="AK1537" s="4"/>
      <c r="AL1537" s="4"/>
      <c r="AM1537" s="4"/>
      <c r="AN1537" s="4"/>
      <c r="AO1537" s="4"/>
      <c r="AP1537" s="4"/>
      <c r="AQ1537" s="4"/>
      <c r="AR1537" s="4"/>
      <c r="AS1537" s="4"/>
      <c r="AT1537" s="4"/>
      <c r="AU1537" s="4"/>
      <c r="AV1537" s="4"/>
      <c r="AW1537" s="4"/>
      <c r="AX1537" s="4"/>
      <c r="AY1537" s="4"/>
      <c r="AZ1537" s="4"/>
      <c r="BA1537" s="4"/>
      <c r="BB1537" s="4"/>
      <c r="BC1537" s="4"/>
      <c r="BD1537" s="4"/>
      <c r="BE1537" s="4"/>
      <c r="BF1537" s="4"/>
      <c r="BG1537" s="4"/>
      <c r="BH1537" s="4"/>
      <c r="BI1537" s="4"/>
      <c r="BJ1537" s="4"/>
      <c r="BK1537" s="4"/>
      <c r="BL1537" s="4"/>
      <c r="BM1537" s="4"/>
      <c r="BN1537" s="4"/>
      <c r="BO1537" s="4"/>
      <c r="BP1537" s="4"/>
      <c r="BQ1537" s="4"/>
      <c r="BR1537" s="4"/>
      <c r="BS1537" s="4"/>
      <c r="BT1537" s="4"/>
      <c r="BU1537" s="4"/>
      <c r="BV1537" s="4"/>
      <c r="BW1537" s="4"/>
      <c r="BX1537" s="4"/>
      <c r="BY1537" s="4"/>
      <c r="BZ1537" s="4"/>
      <c r="CA1537" s="4"/>
      <c r="CB1537" s="4"/>
      <c r="CC1537" s="4"/>
      <c r="CD1537" s="4"/>
      <c r="CE1537" s="4"/>
      <c r="CF1537" s="4"/>
      <c r="CG1537" s="4"/>
      <c r="CH1537" s="4"/>
      <c r="CI1537" s="4"/>
      <c r="CJ1537" s="4"/>
      <c r="CK1537" s="4"/>
      <c r="CL1537" s="4"/>
      <c r="CM1537" s="4"/>
      <c r="CN1537" s="4"/>
      <c r="CO1537" s="4"/>
      <c r="CP1537" s="4"/>
      <c r="CQ1537" s="4"/>
      <c r="CR1537" s="4"/>
      <c r="CS1537" s="4"/>
      <c r="CT1537" s="4"/>
      <c r="CU1537" s="4"/>
      <c r="CV1537" s="4"/>
      <c r="CW1537" s="4"/>
      <c r="CX1537" s="4"/>
      <c r="CY1537" s="4"/>
      <c r="CZ1537" s="4"/>
      <c r="DA1537" s="4"/>
      <c r="DB1537" s="4"/>
      <c r="DC1537" s="4"/>
      <c r="DD1537" s="4"/>
      <c r="DE1537" s="4"/>
      <c r="DF1537" s="4"/>
      <c r="DG1537" s="4"/>
      <c r="DH1537" s="4"/>
      <c r="DI1537" s="4"/>
      <c r="DJ1537" s="4"/>
      <c r="DK1537" s="4"/>
      <c r="DL1537" s="4"/>
      <c r="DM1537" s="4"/>
      <c r="DN1537" s="4"/>
      <c r="DO1537" s="4"/>
      <c r="DP1537" s="4"/>
      <c r="DQ1537" s="4"/>
      <c r="DR1537" s="4"/>
    </row>
    <row r="1538" spans="1:122" x14ac:dyDescent="0.25">
      <c r="A1538" s="2" t="s">
        <v>15</v>
      </c>
      <c r="B1538" s="2" t="str">
        <f>"FES1162769400"</f>
        <v>FES1162769400</v>
      </c>
      <c r="C1538" s="2" t="s">
        <v>1084</v>
      </c>
      <c r="D1538" s="2">
        <v>1</v>
      </c>
      <c r="E1538" s="2" t="str">
        <f>"2170756931"</f>
        <v>2170756931</v>
      </c>
      <c r="F1538" s="2" t="s">
        <v>17</v>
      </c>
      <c r="G1538" s="2" t="s">
        <v>18</v>
      </c>
      <c r="H1538" s="2" t="s">
        <v>78</v>
      </c>
      <c r="I1538" s="2" t="s">
        <v>79</v>
      </c>
      <c r="J1538" s="2" t="s">
        <v>81</v>
      </c>
      <c r="K1538" s="2" t="s">
        <v>1190</v>
      </c>
      <c r="L1538" s="3">
        <v>0.50902777777777775</v>
      </c>
      <c r="M1538" s="2" t="s">
        <v>1078</v>
      </c>
      <c r="N1538" s="2" t="s">
        <v>500</v>
      </c>
      <c r="O1538" s="2"/>
      <c r="P1538" s="4"/>
      <c r="Q1538" s="4"/>
      <c r="R1538" s="4"/>
      <c r="S1538" s="4"/>
      <c r="T1538" s="4"/>
      <c r="U1538" s="4"/>
      <c r="V1538" s="4"/>
      <c r="W1538" s="4"/>
      <c r="X1538" s="4"/>
      <c r="Y1538" s="4"/>
      <c r="Z1538" s="4"/>
      <c r="AA1538" s="4"/>
      <c r="AB1538" s="4"/>
      <c r="AC1538" s="4"/>
      <c r="AD1538" s="4"/>
      <c r="AE1538" s="4"/>
      <c r="AF1538" s="4"/>
      <c r="AG1538" s="4"/>
      <c r="AH1538" s="4"/>
      <c r="AI1538" s="4"/>
      <c r="AJ1538" s="4"/>
      <c r="AK1538" s="4"/>
      <c r="AL1538" s="4"/>
      <c r="AM1538" s="4"/>
      <c r="AN1538" s="4"/>
      <c r="AO1538" s="4"/>
      <c r="AP1538" s="4"/>
      <c r="AQ1538" s="4"/>
      <c r="AR1538" s="4"/>
      <c r="AS1538" s="4"/>
      <c r="AT1538" s="4"/>
      <c r="AU1538" s="4"/>
      <c r="AV1538" s="4"/>
      <c r="AW1538" s="4"/>
      <c r="AX1538" s="4"/>
      <c r="AY1538" s="4"/>
      <c r="AZ1538" s="4"/>
      <c r="BA1538" s="4"/>
      <c r="BB1538" s="4"/>
      <c r="BC1538" s="4"/>
      <c r="BD1538" s="4"/>
      <c r="BE1538" s="4"/>
      <c r="BF1538" s="4"/>
      <c r="BG1538" s="4"/>
      <c r="BH1538" s="4"/>
      <c r="BI1538" s="4"/>
      <c r="BJ1538" s="4"/>
      <c r="BK1538" s="4"/>
      <c r="BL1538" s="4"/>
      <c r="BM1538" s="4"/>
      <c r="BN1538" s="4"/>
      <c r="BO1538" s="4"/>
      <c r="BP1538" s="4"/>
      <c r="BQ1538" s="4"/>
      <c r="BR1538" s="4"/>
      <c r="BS1538" s="4"/>
      <c r="BT1538" s="4"/>
      <c r="BU1538" s="4"/>
      <c r="BV1538" s="4"/>
      <c r="BW1538" s="4"/>
      <c r="BX1538" s="4"/>
      <c r="BY1538" s="4"/>
      <c r="BZ1538" s="4"/>
      <c r="CA1538" s="4"/>
      <c r="CB1538" s="4"/>
      <c r="CC1538" s="4"/>
      <c r="CD1538" s="4"/>
      <c r="CE1538" s="4"/>
      <c r="CF1538" s="4"/>
      <c r="CG1538" s="4"/>
      <c r="CH1538" s="4"/>
      <c r="CI1538" s="4"/>
      <c r="CJ1538" s="4"/>
      <c r="CK1538" s="4"/>
      <c r="CL1538" s="4"/>
      <c r="CM1538" s="4"/>
      <c r="CN1538" s="4"/>
      <c r="CO1538" s="4"/>
      <c r="CP1538" s="4"/>
      <c r="CQ1538" s="4"/>
      <c r="CR1538" s="4"/>
      <c r="CS1538" s="4"/>
      <c r="CT1538" s="4"/>
      <c r="CU1538" s="4"/>
      <c r="CV1538" s="4"/>
      <c r="CW1538" s="4"/>
      <c r="CX1538" s="4"/>
      <c r="CY1538" s="4"/>
      <c r="CZ1538" s="4"/>
      <c r="DA1538" s="4"/>
      <c r="DB1538" s="4"/>
      <c r="DC1538" s="4"/>
      <c r="DD1538" s="4"/>
      <c r="DE1538" s="4"/>
      <c r="DF1538" s="4"/>
      <c r="DG1538" s="4"/>
      <c r="DH1538" s="4"/>
      <c r="DI1538" s="4"/>
      <c r="DJ1538" s="4"/>
      <c r="DK1538" s="4"/>
      <c r="DL1538" s="4"/>
      <c r="DM1538" s="4"/>
      <c r="DN1538" s="4"/>
      <c r="DO1538" s="4"/>
      <c r="DP1538" s="4"/>
      <c r="DQ1538" s="4"/>
      <c r="DR1538" s="4"/>
    </row>
    <row r="1539" spans="1:122" x14ac:dyDescent="0.25">
      <c r="A1539" s="2" t="s">
        <v>15</v>
      </c>
      <c r="B1539" s="2" t="str">
        <f>"FES1162769244"</f>
        <v>FES1162769244</v>
      </c>
      <c r="C1539" s="2" t="s">
        <v>1084</v>
      </c>
      <c r="D1539" s="2">
        <v>1</v>
      </c>
      <c r="E1539" s="2" t="str">
        <f>"2170752237"</f>
        <v>2170752237</v>
      </c>
      <c r="F1539" s="2" t="s">
        <v>17</v>
      </c>
      <c r="G1539" s="2" t="s">
        <v>18</v>
      </c>
      <c r="H1539" s="2" t="s">
        <v>19</v>
      </c>
      <c r="I1539" s="2" t="s">
        <v>111</v>
      </c>
      <c r="J1539" s="2" t="s">
        <v>405</v>
      </c>
      <c r="K1539" s="2" t="s">
        <v>1190</v>
      </c>
      <c r="L1539" s="3">
        <v>0.3888888888888889</v>
      </c>
      <c r="M1539" s="2" t="s">
        <v>406</v>
      </c>
      <c r="N1539" s="2" t="s">
        <v>500</v>
      </c>
      <c r="O1539" s="2"/>
      <c r="P1539" s="4"/>
      <c r="Q1539" s="4"/>
      <c r="R1539" s="4"/>
      <c r="S1539" s="4"/>
      <c r="T1539" s="4"/>
      <c r="U1539" s="4"/>
      <c r="V1539" s="4"/>
      <c r="W1539" s="4"/>
      <c r="X1539" s="4"/>
      <c r="Y1539" s="4"/>
      <c r="Z1539" s="4"/>
      <c r="AA1539" s="4"/>
      <c r="AB1539" s="4"/>
      <c r="AC1539" s="4"/>
      <c r="AD1539" s="4"/>
      <c r="AE1539" s="4"/>
      <c r="AF1539" s="4"/>
      <c r="AG1539" s="4"/>
      <c r="AH1539" s="4"/>
      <c r="AI1539" s="4"/>
      <c r="AJ1539" s="4"/>
      <c r="AK1539" s="4"/>
      <c r="AL1539" s="4"/>
      <c r="AM1539" s="4"/>
      <c r="AN1539" s="4"/>
      <c r="AO1539" s="4"/>
      <c r="AP1539" s="4"/>
      <c r="AQ1539" s="4"/>
      <c r="AR1539" s="4"/>
      <c r="AS1539" s="4"/>
      <c r="AT1539" s="4"/>
      <c r="AU1539" s="4"/>
      <c r="AV1539" s="4"/>
      <c r="AW1539" s="4"/>
      <c r="AX1539" s="4"/>
      <c r="AY1539" s="4"/>
      <c r="AZ1539" s="4"/>
      <c r="BA1539" s="4"/>
      <c r="BB1539" s="4"/>
      <c r="BC1539" s="4"/>
      <c r="BD1539" s="4"/>
      <c r="BE1539" s="4"/>
      <c r="BF1539" s="4"/>
      <c r="BG1539" s="4"/>
      <c r="BH1539" s="4"/>
      <c r="BI1539" s="4"/>
      <c r="BJ1539" s="4"/>
      <c r="BK1539" s="4"/>
      <c r="BL1539" s="4"/>
      <c r="BM1539" s="4"/>
      <c r="BN1539" s="4"/>
      <c r="BO1539" s="4"/>
      <c r="BP1539" s="4"/>
      <c r="BQ1539" s="4"/>
      <c r="BR1539" s="4"/>
      <c r="BS1539" s="4"/>
      <c r="BT1539" s="4"/>
      <c r="BU1539" s="4"/>
      <c r="BV1539" s="4"/>
      <c r="BW1539" s="4"/>
      <c r="BX1539" s="4"/>
      <c r="BY1539" s="4"/>
      <c r="BZ1539" s="4"/>
      <c r="CA1539" s="4"/>
      <c r="CB1539" s="4"/>
      <c r="CC1539" s="4"/>
      <c r="CD1539" s="4"/>
      <c r="CE1539" s="4"/>
      <c r="CF1539" s="4"/>
      <c r="CG1539" s="4"/>
      <c r="CH1539" s="4"/>
      <c r="CI1539" s="4"/>
      <c r="CJ1539" s="4"/>
      <c r="CK1539" s="4"/>
      <c r="CL1539" s="4"/>
      <c r="CM1539" s="4"/>
      <c r="CN1539" s="4"/>
      <c r="CO1539" s="4"/>
      <c r="CP1539" s="4"/>
      <c r="CQ1539" s="4"/>
      <c r="CR1539" s="4"/>
      <c r="CS1539" s="4"/>
      <c r="CT1539" s="4"/>
      <c r="CU1539" s="4"/>
      <c r="CV1539" s="4"/>
      <c r="CW1539" s="4"/>
      <c r="CX1539" s="4"/>
      <c r="CY1539" s="4"/>
      <c r="CZ1539" s="4"/>
      <c r="DA1539" s="4"/>
      <c r="DB1539" s="4"/>
      <c r="DC1539" s="4"/>
      <c r="DD1539" s="4"/>
      <c r="DE1539" s="4"/>
      <c r="DF1539" s="4"/>
      <c r="DG1539" s="4"/>
      <c r="DH1539" s="4"/>
      <c r="DI1539" s="4"/>
      <c r="DJ1539" s="4"/>
      <c r="DK1539" s="4"/>
      <c r="DL1539" s="4"/>
      <c r="DM1539" s="4"/>
      <c r="DN1539" s="4"/>
      <c r="DO1539" s="4"/>
      <c r="DP1539" s="4"/>
      <c r="DQ1539" s="4"/>
      <c r="DR1539" s="4"/>
    </row>
    <row r="1540" spans="1:122" x14ac:dyDescent="0.25">
      <c r="A1540" s="2" t="s">
        <v>15</v>
      </c>
      <c r="B1540" s="2" t="str">
        <f>"FES1162769243"</f>
        <v>FES1162769243</v>
      </c>
      <c r="C1540" s="2" t="s">
        <v>1084</v>
      </c>
      <c r="D1540" s="2">
        <v>1</v>
      </c>
      <c r="E1540" s="2" t="str">
        <f>"2170752030"</f>
        <v>2170752030</v>
      </c>
      <c r="F1540" s="2" t="s">
        <v>17</v>
      </c>
      <c r="G1540" s="2" t="s">
        <v>18</v>
      </c>
      <c r="H1540" s="2" t="s">
        <v>36</v>
      </c>
      <c r="I1540" s="2" t="s">
        <v>37</v>
      </c>
      <c r="J1540" s="2" t="s">
        <v>476</v>
      </c>
      <c r="K1540" s="2" t="s">
        <v>1190</v>
      </c>
      <c r="L1540" s="3">
        <v>0.41666666666666669</v>
      </c>
      <c r="M1540" s="2" t="s">
        <v>1064</v>
      </c>
      <c r="N1540" s="2" t="s">
        <v>500</v>
      </c>
      <c r="O1540" s="2"/>
      <c r="P1540" s="4"/>
      <c r="Q1540" s="4"/>
      <c r="R1540" s="4"/>
      <c r="S1540" s="4"/>
      <c r="T1540" s="4"/>
      <c r="U1540" s="4"/>
      <c r="V1540" s="4"/>
      <c r="W1540" s="4"/>
      <c r="X1540" s="4"/>
      <c r="Y1540" s="4"/>
      <c r="Z1540" s="4"/>
      <c r="AA1540" s="4"/>
      <c r="AB1540" s="4"/>
      <c r="AC1540" s="4"/>
      <c r="AD1540" s="4"/>
      <c r="AE1540" s="4"/>
      <c r="AF1540" s="4"/>
      <c r="AG1540" s="4"/>
      <c r="AH1540" s="4"/>
      <c r="AI1540" s="4"/>
      <c r="AJ1540" s="4"/>
      <c r="AK1540" s="4"/>
      <c r="AL1540" s="4"/>
      <c r="AM1540" s="4"/>
      <c r="AN1540" s="4"/>
      <c r="AO1540" s="4"/>
      <c r="AP1540" s="4"/>
      <c r="AQ1540" s="4"/>
      <c r="AR1540" s="4"/>
      <c r="AS1540" s="4"/>
      <c r="AT1540" s="4"/>
      <c r="AU1540" s="4"/>
      <c r="AV1540" s="4"/>
      <c r="AW1540" s="4"/>
      <c r="AX1540" s="4"/>
      <c r="AY1540" s="4"/>
      <c r="AZ1540" s="4"/>
      <c r="BA1540" s="4"/>
      <c r="BB1540" s="4"/>
      <c r="BC1540" s="4"/>
      <c r="BD1540" s="4"/>
      <c r="BE1540" s="4"/>
      <c r="BF1540" s="4"/>
      <c r="BG1540" s="4"/>
      <c r="BH1540" s="4"/>
      <c r="BI1540" s="4"/>
      <c r="BJ1540" s="4"/>
      <c r="BK1540" s="4"/>
      <c r="BL1540" s="4"/>
      <c r="BM1540" s="4"/>
      <c r="BN1540" s="4"/>
      <c r="BO1540" s="4"/>
      <c r="BP1540" s="4"/>
      <c r="BQ1540" s="4"/>
      <c r="BR1540" s="4"/>
      <c r="BS1540" s="4"/>
      <c r="BT1540" s="4"/>
      <c r="BU1540" s="4"/>
      <c r="BV1540" s="4"/>
      <c r="BW1540" s="4"/>
      <c r="BX1540" s="4"/>
      <c r="BY1540" s="4"/>
      <c r="BZ1540" s="4"/>
      <c r="CA1540" s="4"/>
      <c r="CB1540" s="4"/>
      <c r="CC1540" s="4"/>
      <c r="CD1540" s="4"/>
      <c r="CE1540" s="4"/>
      <c r="CF1540" s="4"/>
      <c r="CG1540" s="4"/>
      <c r="CH1540" s="4"/>
      <c r="CI1540" s="4"/>
      <c r="CJ1540" s="4"/>
      <c r="CK1540" s="4"/>
      <c r="CL1540" s="4"/>
      <c r="CM1540" s="4"/>
      <c r="CN1540" s="4"/>
      <c r="CO1540" s="4"/>
      <c r="CP1540" s="4"/>
      <c r="CQ1540" s="4"/>
      <c r="CR1540" s="4"/>
      <c r="CS1540" s="4"/>
      <c r="CT1540" s="4"/>
      <c r="CU1540" s="4"/>
      <c r="CV1540" s="4"/>
      <c r="CW1540" s="4"/>
      <c r="CX1540" s="4"/>
      <c r="CY1540" s="4"/>
      <c r="CZ1540" s="4"/>
      <c r="DA1540" s="4"/>
      <c r="DB1540" s="4"/>
      <c r="DC1540" s="4"/>
      <c r="DD1540" s="4"/>
      <c r="DE1540" s="4"/>
      <c r="DF1540" s="4"/>
      <c r="DG1540" s="4"/>
      <c r="DH1540" s="4"/>
      <c r="DI1540" s="4"/>
      <c r="DJ1540" s="4"/>
      <c r="DK1540" s="4"/>
      <c r="DL1540" s="4"/>
      <c r="DM1540" s="4"/>
      <c r="DN1540" s="4"/>
      <c r="DO1540" s="4"/>
      <c r="DP1540" s="4"/>
      <c r="DQ1540" s="4"/>
      <c r="DR1540" s="4"/>
    </row>
    <row r="1541" spans="1:122" x14ac:dyDescent="0.25">
      <c r="A1541" s="2" t="s">
        <v>15</v>
      </c>
      <c r="B1541" s="2" t="str">
        <f>"FES1162769236"</f>
        <v>FES1162769236</v>
      </c>
      <c r="C1541" s="2" t="s">
        <v>1084</v>
      </c>
      <c r="D1541" s="2">
        <v>1</v>
      </c>
      <c r="E1541" s="2" t="str">
        <f>"2170755067"</f>
        <v>2170755067</v>
      </c>
      <c r="F1541" s="2" t="s">
        <v>17</v>
      </c>
      <c r="G1541" s="2" t="s">
        <v>18</v>
      </c>
      <c r="H1541" s="2" t="s">
        <v>19</v>
      </c>
      <c r="I1541" s="2" t="s">
        <v>20</v>
      </c>
      <c r="J1541" s="2" t="s">
        <v>77</v>
      </c>
      <c r="K1541" s="2" t="s">
        <v>1190</v>
      </c>
      <c r="L1541" s="3">
        <v>0.33819444444444446</v>
      </c>
      <c r="M1541" s="2" t="s">
        <v>198</v>
      </c>
      <c r="N1541" s="2" t="s">
        <v>500</v>
      </c>
      <c r="O1541" s="2"/>
      <c r="P1541" s="4"/>
      <c r="Q1541" s="4"/>
      <c r="R1541" s="4"/>
      <c r="S1541" s="4"/>
      <c r="T1541" s="4"/>
      <c r="U1541" s="4"/>
      <c r="V1541" s="4"/>
      <c r="W1541" s="4"/>
      <c r="X1541" s="4"/>
      <c r="Y1541" s="4"/>
      <c r="Z1541" s="4"/>
      <c r="AA1541" s="4"/>
      <c r="AB1541" s="4"/>
      <c r="AC1541" s="4"/>
      <c r="AD1541" s="4"/>
      <c r="AE1541" s="4"/>
      <c r="AF1541" s="4"/>
      <c r="AG1541" s="4"/>
      <c r="AH1541" s="4"/>
      <c r="AI1541" s="4"/>
      <c r="AJ1541" s="4"/>
      <c r="AK1541" s="4"/>
      <c r="AL1541" s="4"/>
      <c r="AM1541" s="4"/>
      <c r="AN1541" s="4"/>
      <c r="AO1541" s="4"/>
      <c r="AP1541" s="4"/>
      <c r="AQ1541" s="4"/>
      <c r="AR1541" s="4"/>
      <c r="AS1541" s="4"/>
      <c r="AT1541" s="4"/>
      <c r="AU1541" s="4"/>
      <c r="AV1541" s="4"/>
      <c r="AW1541" s="4"/>
      <c r="AX1541" s="4"/>
      <c r="AY1541" s="4"/>
      <c r="AZ1541" s="4"/>
      <c r="BA1541" s="4"/>
      <c r="BB1541" s="4"/>
      <c r="BC1541" s="4"/>
      <c r="BD1541" s="4"/>
      <c r="BE1541" s="4"/>
      <c r="BF1541" s="4"/>
      <c r="BG1541" s="4"/>
      <c r="BH1541" s="4"/>
      <c r="BI1541" s="4"/>
      <c r="BJ1541" s="4"/>
      <c r="BK1541" s="4"/>
      <c r="BL1541" s="4"/>
      <c r="BM1541" s="4"/>
      <c r="BN1541" s="4"/>
      <c r="BO1541" s="4"/>
      <c r="BP1541" s="4"/>
      <c r="BQ1541" s="4"/>
      <c r="BR1541" s="4"/>
      <c r="BS1541" s="4"/>
      <c r="BT1541" s="4"/>
      <c r="BU1541" s="4"/>
      <c r="BV1541" s="4"/>
      <c r="BW1541" s="4"/>
      <c r="BX1541" s="4"/>
      <c r="BY1541" s="4"/>
      <c r="BZ1541" s="4"/>
      <c r="CA1541" s="4"/>
      <c r="CB1541" s="4"/>
      <c r="CC1541" s="4"/>
      <c r="CD1541" s="4"/>
      <c r="CE1541" s="4"/>
      <c r="CF1541" s="4"/>
      <c r="CG1541" s="4"/>
      <c r="CH1541" s="4"/>
      <c r="CI1541" s="4"/>
      <c r="CJ1541" s="4"/>
      <c r="CK1541" s="4"/>
      <c r="CL1541" s="4"/>
      <c r="CM1541" s="4"/>
      <c r="CN1541" s="4"/>
      <c r="CO1541" s="4"/>
      <c r="CP1541" s="4"/>
      <c r="CQ1541" s="4"/>
      <c r="CR1541" s="4"/>
      <c r="CS1541" s="4"/>
      <c r="CT1541" s="4"/>
      <c r="CU1541" s="4"/>
      <c r="CV1541" s="4"/>
      <c r="CW1541" s="4"/>
      <c r="CX1541" s="4"/>
      <c r="CY1541" s="4"/>
      <c r="CZ1541" s="4"/>
      <c r="DA1541" s="4"/>
      <c r="DB1541" s="4"/>
      <c r="DC1541" s="4"/>
      <c r="DD1541" s="4"/>
      <c r="DE1541" s="4"/>
      <c r="DF1541" s="4"/>
      <c r="DG1541" s="4"/>
      <c r="DH1541" s="4"/>
      <c r="DI1541" s="4"/>
      <c r="DJ1541" s="4"/>
      <c r="DK1541" s="4"/>
      <c r="DL1541" s="4"/>
      <c r="DM1541" s="4"/>
      <c r="DN1541" s="4"/>
      <c r="DO1541" s="4"/>
      <c r="DP1541" s="4"/>
      <c r="DQ1541" s="4"/>
      <c r="DR1541" s="4"/>
    </row>
    <row r="1542" spans="1:122" x14ac:dyDescent="0.25">
      <c r="A1542" s="2" t="s">
        <v>15</v>
      </c>
      <c r="B1542" s="2" t="str">
        <f>"FES1162769070"</f>
        <v>FES1162769070</v>
      </c>
      <c r="C1542" s="2" t="s">
        <v>1084</v>
      </c>
      <c r="D1542" s="2">
        <v>2</v>
      </c>
      <c r="E1542" s="2" t="str">
        <f>"2170753266"</f>
        <v>2170753266</v>
      </c>
      <c r="F1542" s="2" t="s">
        <v>205</v>
      </c>
      <c r="G1542" s="2" t="s">
        <v>206</v>
      </c>
      <c r="H1542" s="2" t="s">
        <v>36</v>
      </c>
      <c r="I1542" s="2" t="s">
        <v>37</v>
      </c>
      <c r="J1542" s="2" t="s">
        <v>162</v>
      </c>
      <c r="K1542" s="2" t="s">
        <v>1266</v>
      </c>
      <c r="L1542" s="3">
        <v>0.36388888888888887</v>
      </c>
      <c r="M1542" s="2" t="s">
        <v>268</v>
      </c>
      <c r="N1542" s="2" t="s">
        <v>500</v>
      </c>
      <c r="O1542" s="2"/>
      <c r="P1542" s="4"/>
      <c r="Q1542" s="4"/>
      <c r="R1542" s="4"/>
      <c r="S1542" s="4"/>
      <c r="T1542" s="4"/>
      <c r="U1542" s="4"/>
      <c r="V1542" s="4"/>
      <c r="W1542" s="4"/>
      <c r="X1542" s="4"/>
      <c r="Y1542" s="4"/>
      <c r="Z1542" s="4"/>
      <c r="AA1542" s="4"/>
      <c r="AB1542" s="4"/>
      <c r="AC1542" s="4"/>
      <c r="AD1542" s="4"/>
      <c r="AE1542" s="4"/>
      <c r="AF1542" s="4"/>
      <c r="AG1542" s="4"/>
      <c r="AH1542" s="4"/>
      <c r="AI1542" s="4"/>
      <c r="AJ1542" s="4"/>
      <c r="AK1542" s="4"/>
      <c r="AL1542" s="4"/>
      <c r="AM1542" s="4"/>
      <c r="AN1542" s="4"/>
      <c r="AO1542" s="4"/>
      <c r="AP1542" s="4"/>
      <c r="AQ1542" s="4"/>
      <c r="AR1542" s="4"/>
      <c r="AS1542" s="4"/>
      <c r="AT1542" s="4"/>
      <c r="AU1542" s="4"/>
      <c r="AV1542" s="4"/>
      <c r="AW1542" s="4"/>
      <c r="AX1542" s="4"/>
      <c r="AY1542" s="4"/>
      <c r="AZ1542" s="4"/>
      <c r="BA1542" s="4"/>
      <c r="BB1542" s="4"/>
      <c r="BC1542" s="4"/>
      <c r="BD1542" s="4"/>
      <c r="BE1542" s="4"/>
      <c r="BF1542" s="4"/>
      <c r="BG1542" s="4"/>
      <c r="BH1542" s="4"/>
      <c r="BI1542" s="4"/>
      <c r="BJ1542" s="4"/>
      <c r="BK1542" s="4"/>
      <c r="BL1542" s="4"/>
      <c r="BM1542" s="4"/>
      <c r="BN1542" s="4"/>
      <c r="BO1542" s="4"/>
      <c r="BP1542" s="4"/>
      <c r="BQ1542" s="4"/>
      <c r="BR1542" s="4"/>
      <c r="BS1542" s="4"/>
      <c r="BT1542" s="4"/>
      <c r="BU1542" s="4"/>
      <c r="BV1542" s="4"/>
      <c r="BW1542" s="4"/>
      <c r="BX1542" s="4"/>
      <c r="BY1542" s="4"/>
      <c r="BZ1542" s="4"/>
      <c r="CA1542" s="4"/>
      <c r="CB1542" s="4"/>
      <c r="CC1542" s="4"/>
      <c r="CD1542" s="4"/>
      <c r="CE1542" s="4"/>
      <c r="CF1542" s="4"/>
      <c r="CG1542" s="4"/>
      <c r="CH1542" s="4"/>
      <c r="CI1542" s="4"/>
      <c r="CJ1542" s="4"/>
      <c r="CK1542" s="4"/>
      <c r="CL1542" s="4"/>
      <c r="CM1542" s="4"/>
      <c r="CN1542" s="4"/>
      <c r="CO1542" s="4"/>
      <c r="CP1542" s="4"/>
      <c r="CQ1542" s="4"/>
      <c r="CR1542" s="4"/>
      <c r="CS1542" s="4"/>
      <c r="CT1542" s="4"/>
      <c r="CU1542" s="4"/>
      <c r="CV1542" s="4"/>
      <c r="CW1542" s="4"/>
      <c r="CX1542" s="4"/>
      <c r="CY1542" s="4"/>
      <c r="CZ1542" s="4"/>
      <c r="DA1542" s="4"/>
      <c r="DB1542" s="4"/>
      <c r="DC1542" s="4"/>
      <c r="DD1542" s="4"/>
      <c r="DE1542" s="4"/>
      <c r="DF1542" s="4"/>
      <c r="DG1542" s="4"/>
      <c r="DH1542" s="4"/>
      <c r="DI1542" s="4"/>
      <c r="DJ1542" s="4"/>
      <c r="DK1542" s="4"/>
      <c r="DL1542" s="4"/>
      <c r="DM1542" s="4"/>
      <c r="DN1542" s="4"/>
      <c r="DO1542" s="4"/>
      <c r="DP1542" s="4"/>
      <c r="DQ1542" s="4"/>
      <c r="DR1542" s="4"/>
    </row>
    <row r="1543" spans="1:122" x14ac:dyDescent="0.25">
      <c r="A1543" s="2" t="s">
        <v>15</v>
      </c>
      <c r="B1543" s="2" t="str">
        <f>"FES1162769412"</f>
        <v>FES1162769412</v>
      </c>
      <c r="C1543" s="2" t="s">
        <v>1084</v>
      </c>
      <c r="D1543" s="2">
        <v>1</v>
      </c>
      <c r="E1543" s="2" t="str">
        <f>"2170756930"</f>
        <v>2170756930</v>
      </c>
      <c r="F1543" s="2" t="s">
        <v>17</v>
      </c>
      <c r="G1543" s="2" t="s">
        <v>18</v>
      </c>
      <c r="H1543" s="2" t="s">
        <v>19</v>
      </c>
      <c r="I1543" s="2" t="s">
        <v>269</v>
      </c>
      <c r="J1543" s="2" t="s">
        <v>655</v>
      </c>
      <c r="K1543" s="2" t="s">
        <v>1190</v>
      </c>
      <c r="L1543" s="3">
        <v>0.41250000000000003</v>
      </c>
      <c r="M1543" s="2" t="s">
        <v>1274</v>
      </c>
      <c r="N1543" s="2" t="s">
        <v>500</v>
      </c>
      <c r="O1543" s="2"/>
      <c r="P1543" s="4"/>
      <c r="Q1543" s="4"/>
      <c r="R1543" s="4"/>
      <c r="S1543" s="4"/>
      <c r="T1543" s="4"/>
      <c r="U1543" s="4"/>
      <c r="V1543" s="4"/>
      <c r="W1543" s="4"/>
      <c r="X1543" s="4"/>
      <c r="Y1543" s="4"/>
      <c r="Z1543" s="4"/>
      <c r="AA1543" s="4"/>
      <c r="AB1543" s="4"/>
      <c r="AC1543" s="4"/>
      <c r="AD1543" s="4"/>
      <c r="AE1543" s="4"/>
      <c r="AF1543" s="4"/>
      <c r="AG1543" s="4"/>
      <c r="AH1543" s="4"/>
      <c r="AI1543" s="4"/>
      <c r="AJ1543" s="4"/>
      <c r="AK1543" s="4"/>
      <c r="AL1543" s="4"/>
      <c r="AM1543" s="4"/>
      <c r="AN1543" s="4"/>
      <c r="AO1543" s="4"/>
      <c r="AP1543" s="4"/>
      <c r="AQ1543" s="4"/>
      <c r="AR1543" s="4"/>
      <c r="AS1543" s="4"/>
      <c r="AT1543" s="4"/>
      <c r="AU1543" s="4"/>
      <c r="AV1543" s="4"/>
      <c r="AW1543" s="4"/>
      <c r="AX1543" s="4"/>
      <c r="AY1543" s="4"/>
      <c r="AZ1543" s="4"/>
      <c r="BA1543" s="4"/>
      <c r="BB1543" s="4"/>
      <c r="BC1543" s="4"/>
      <c r="BD1543" s="4"/>
      <c r="BE1543" s="4"/>
      <c r="BF1543" s="4"/>
      <c r="BG1543" s="4"/>
      <c r="BH1543" s="4"/>
      <c r="BI1543" s="4"/>
      <c r="BJ1543" s="4"/>
      <c r="BK1543" s="4"/>
      <c r="BL1543" s="4"/>
      <c r="BM1543" s="4"/>
      <c r="BN1543" s="4"/>
      <c r="BO1543" s="4"/>
      <c r="BP1543" s="4"/>
      <c r="BQ1543" s="4"/>
      <c r="BR1543" s="4"/>
      <c r="BS1543" s="4"/>
      <c r="BT1543" s="4"/>
      <c r="BU1543" s="4"/>
      <c r="BV1543" s="4"/>
      <c r="BW1543" s="4"/>
      <c r="BX1543" s="4"/>
      <c r="BY1543" s="4"/>
      <c r="BZ1543" s="4"/>
      <c r="CA1543" s="4"/>
      <c r="CB1543" s="4"/>
      <c r="CC1543" s="4"/>
      <c r="CD1543" s="4"/>
      <c r="CE1543" s="4"/>
      <c r="CF1543" s="4"/>
      <c r="CG1543" s="4"/>
      <c r="CH1543" s="4"/>
      <c r="CI1543" s="4"/>
      <c r="CJ1543" s="4"/>
      <c r="CK1543" s="4"/>
      <c r="CL1543" s="4"/>
      <c r="CM1543" s="4"/>
      <c r="CN1543" s="4"/>
      <c r="CO1543" s="4"/>
      <c r="CP1543" s="4"/>
      <c r="CQ1543" s="4"/>
      <c r="CR1543" s="4"/>
      <c r="CS1543" s="4"/>
      <c r="CT1543" s="4"/>
      <c r="CU1543" s="4"/>
      <c r="CV1543" s="4"/>
      <c r="CW1543" s="4"/>
      <c r="CX1543" s="4"/>
      <c r="CY1543" s="4"/>
      <c r="CZ1543" s="4"/>
      <c r="DA1543" s="4"/>
      <c r="DB1543" s="4"/>
      <c r="DC1543" s="4"/>
      <c r="DD1543" s="4"/>
      <c r="DE1543" s="4"/>
      <c r="DF1543" s="4"/>
      <c r="DG1543" s="4"/>
      <c r="DH1543" s="4"/>
      <c r="DI1543" s="4"/>
      <c r="DJ1543" s="4"/>
      <c r="DK1543" s="4"/>
      <c r="DL1543" s="4"/>
      <c r="DM1543" s="4"/>
      <c r="DN1543" s="4"/>
      <c r="DO1543" s="4"/>
      <c r="DP1543" s="4"/>
      <c r="DQ1543" s="4"/>
      <c r="DR1543" s="4"/>
    </row>
    <row r="1544" spans="1:122" x14ac:dyDescent="0.25">
      <c r="A1544" s="2" t="s">
        <v>15</v>
      </c>
      <c r="B1544" s="2" t="str">
        <f>"RFES1162768075"</f>
        <v>RFES1162768075</v>
      </c>
      <c r="C1544" s="2" t="s">
        <v>1084</v>
      </c>
      <c r="D1544" s="2">
        <v>1</v>
      </c>
      <c r="E1544" s="2" t="str">
        <f>"2170755981"</f>
        <v>2170755981</v>
      </c>
      <c r="F1544" s="2" t="s">
        <v>17</v>
      </c>
      <c r="G1544" s="2" t="s">
        <v>19</v>
      </c>
      <c r="H1544" s="2" t="s">
        <v>18</v>
      </c>
      <c r="I1544" s="2" t="s">
        <v>46</v>
      </c>
      <c r="J1544" s="2" t="s">
        <v>170</v>
      </c>
      <c r="K1544" s="2" t="s">
        <v>1190</v>
      </c>
      <c r="L1544" s="3">
        <v>0.38125000000000003</v>
      </c>
      <c r="M1544" s="2" t="s">
        <v>1253</v>
      </c>
      <c r="N1544" s="2" t="s">
        <v>500</v>
      </c>
      <c r="O1544" s="2"/>
      <c r="P1544" s="4"/>
      <c r="Q1544" s="4"/>
      <c r="R1544" s="4"/>
      <c r="S1544" s="4"/>
      <c r="T1544" s="4"/>
      <c r="U1544" s="4"/>
      <c r="V1544" s="4"/>
      <c r="W1544" s="4"/>
      <c r="X1544" s="4"/>
      <c r="Y1544" s="4"/>
      <c r="Z1544" s="4"/>
      <c r="AA1544" s="4"/>
      <c r="AB1544" s="4"/>
      <c r="AC1544" s="4"/>
      <c r="AD1544" s="4"/>
      <c r="AE1544" s="4"/>
      <c r="AF1544" s="4"/>
      <c r="AG1544" s="4"/>
      <c r="AH1544" s="4"/>
      <c r="AI1544" s="4"/>
      <c r="AJ1544" s="4"/>
      <c r="AK1544" s="4"/>
      <c r="AL1544" s="4"/>
      <c r="AM1544" s="4"/>
      <c r="AN1544" s="4"/>
      <c r="AO1544" s="4"/>
      <c r="AP1544" s="4"/>
      <c r="AQ1544" s="4"/>
      <c r="AR1544" s="4"/>
      <c r="AS1544" s="4"/>
      <c r="AT1544" s="4"/>
      <c r="AU1544" s="4"/>
      <c r="AV1544" s="4"/>
      <c r="AW1544" s="4"/>
      <c r="AX1544" s="4"/>
      <c r="AY1544" s="4"/>
      <c r="AZ1544" s="4"/>
      <c r="BA1544" s="4"/>
      <c r="BB1544" s="4"/>
      <c r="BC1544" s="4"/>
      <c r="BD1544" s="4"/>
      <c r="BE1544" s="4"/>
      <c r="BF1544" s="4"/>
      <c r="BG1544" s="4"/>
      <c r="BH1544" s="4"/>
      <c r="BI1544" s="4"/>
      <c r="BJ1544" s="4"/>
      <c r="BK1544" s="4"/>
      <c r="BL1544" s="4"/>
      <c r="BM1544" s="4"/>
      <c r="BN1544" s="4"/>
      <c r="BO1544" s="4"/>
      <c r="BP1544" s="4"/>
      <c r="BQ1544" s="4"/>
      <c r="BR1544" s="4"/>
      <c r="BS1544" s="4"/>
      <c r="BT1544" s="4"/>
      <c r="BU1544" s="4"/>
      <c r="BV1544" s="4"/>
      <c r="BW1544" s="4"/>
      <c r="BX1544" s="4"/>
      <c r="BY1544" s="4"/>
      <c r="BZ1544" s="4"/>
      <c r="CA1544" s="4"/>
      <c r="CB1544" s="4"/>
      <c r="CC1544" s="4"/>
      <c r="CD1544" s="4"/>
      <c r="CE1544" s="4"/>
      <c r="CF1544" s="4"/>
      <c r="CG1544" s="4"/>
      <c r="CH1544" s="4"/>
      <c r="CI1544" s="4"/>
      <c r="CJ1544" s="4"/>
      <c r="CK1544" s="4"/>
      <c r="CL1544" s="4"/>
      <c r="CM1544" s="4"/>
      <c r="CN1544" s="4"/>
      <c r="CO1544" s="4"/>
      <c r="CP1544" s="4"/>
      <c r="CQ1544" s="4"/>
      <c r="CR1544" s="4"/>
      <c r="CS1544" s="4"/>
      <c r="CT1544" s="4"/>
      <c r="CU1544" s="4"/>
      <c r="CV1544" s="4"/>
      <c r="CW1544" s="4"/>
      <c r="CX1544" s="4"/>
      <c r="CY1544" s="4"/>
      <c r="CZ1544" s="4"/>
      <c r="DA1544" s="4"/>
      <c r="DB1544" s="4"/>
      <c r="DC1544" s="4"/>
      <c r="DD1544" s="4"/>
      <c r="DE1544" s="4"/>
      <c r="DF1544" s="4"/>
      <c r="DG1544" s="4"/>
      <c r="DH1544" s="4"/>
      <c r="DI1544" s="4"/>
      <c r="DJ1544" s="4"/>
      <c r="DK1544" s="4"/>
      <c r="DL1544" s="4"/>
      <c r="DM1544" s="4"/>
      <c r="DN1544" s="4"/>
      <c r="DO1544" s="4"/>
      <c r="DP1544" s="4"/>
      <c r="DQ1544" s="4"/>
      <c r="DR1544" s="4"/>
    </row>
    <row r="1545" spans="1:122" x14ac:dyDescent="0.25">
      <c r="A1545" s="2" t="s">
        <v>15</v>
      </c>
      <c r="B1545" s="2" t="str">
        <f>"FES1162769423"</f>
        <v>FES1162769423</v>
      </c>
      <c r="C1545" s="2" t="s">
        <v>1084</v>
      </c>
      <c r="D1545" s="2">
        <v>1</v>
      </c>
      <c r="E1545" s="2" t="str">
        <f>"2170756665"</f>
        <v>2170756665</v>
      </c>
      <c r="F1545" s="2" t="s">
        <v>17</v>
      </c>
      <c r="G1545" s="2" t="s">
        <v>18</v>
      </c>
      <c r="H1545" s="2" t="s">
        <v>78</v>
      </c>
      <c r="I1545" s="2" t="s">
        <v>79</v>
      </c>
      <c r="J1545" s="2" t="s">
        <v>383</v>
      </c>
      <c r="K1545" s="2" t="s">
        <v>1190</v>
      </c>
      <c r="L1545" s="3">
        <v>0.43055555555555558</v>
      </c>
      <c r="M1545" s="2" t="s">
        <v>1275</v>
      </c>
      <c r="N1545" s="2" t="s">
        <v>500</v>
      </c>
      <c r="O1545" s="2"/>
      <c r="P1545" s="4"/>
      <c r="Q1545" s="4"/>
      <c r="R1545" s="4"/>
      <c r="S1545" s="4"/>
      <c r="T1545" s="4"/>
      <c r="U1545" s="4"/>
      <c r="V1545" s="4"/>
      <c r="W1545" s="4"/>
      <c r="X1545" s="4"/>
      <c r="Y1545" s="4"/>
      <c r="Z1545" s="4"/>
      <c r="AA1545" s="4"/>
      <c r="AB1545" s="4"/>
      <c r="AC1545" s="4"/>
      <c r="AD1545" s="4"/>
      <c r="AE1545" s="4"/>
      <c r="AF1545" s="4"/>
      <c r="AG1545" s="4"/>
      <c r="AH1545" s="4"/>
      <c r="AI1545" s="4"/>
      <c r="AJ1545" s="4"/>
      <c r="AK1545" s="4"/>
      <c r="AL1545" s="4"/>
      <c r="AM1545" s="4"/>
      <c r="AN1545" s="4"/>
      <c r="AO1545" s="4"/>
      <c r="AP1545" s="4"/>
      <c r="AQ1545" s="4"/>
      <c r="AR1545" s="4"/>
      <c r="AS1545" s="4"/>
      <c r="AT1545" s="4"/>
      <c r="AU1545" s="4"/>
      <c r="AV1545" s="4"/>
      <c r="AW1545" s="4"/>
      <c r="AX1545" s="4"/>
      <c r="AY1545" s="4"/>
      <c r="AZ1545" s="4"/>
      <c r="BA1545" s="4"/>
      <c r="BB1545" s="4"/>
      <c r="BC1545" s="4"/>
      <c r="BD1545" s="4"/>
      <c r="BE1545" s="4"/>
      <c r="BF1545" s="4"/>
      <c r="BG1545" s="4"/>
      <c r="BH1545" s="4"/>
      <c r="BI1545" s="4"/>
      <c r="BJ1545" s="4"/>
      <c r="BK1545" s="4"/>
      <c r="BL1545" s="4"/>
      <c r="BM1545" s="4"/>
      <c r="BN1545" s="4"/>
      <c r="BO1545" s="4"/>
      <c r="BP1545" s="4"/>
      <c r="BQ1545" s="4"/>
      <c r="BR1545" s="4"/>
      <c r="BS1545" s="4"/>
      <c r="BT1545" s="4"/>
      <c r="BU1545" s="4"/>
      <c r="BV1545" s="4"/>
      <c r="BW1545" s="4"/>
      <c r="BX1545" s="4"/>
      <c r="BY1545" s="4"/>
      <c r="BZ1545" s="4"/>
      <c r="CA1545" s="4"/>
      <c r="CB1545" s="4"/>
      <c r="CC1545" s="4"/>
      <c r="CD1545" s="4"/>
      <c r="CE1545" s="4"/>
      <c r="CF1545" s="4"/>
      <c r="CG1545" s="4"/>
      <c r="CH1545" s="4"/>
      <c r="CI1545" s="4"/>
      <c r="CJ1545" s="4"/>
      <c r="CK1545" s="4"/>
      <c r="CL1545" s="4"/>
      <c r="CM1545" s="4"/>
      <c r="CN1545" s="4"/>
      <c r="CO1545" s="4"/>
      <c r="CP1545" s="4"/>
      <c r="CQ1545" s="4"/>
      <c r="CR1545" s="4"/>
      <c r="CS1545" s="4"/>
      <c r="CT1545" s="4"/>
      <c r="CU1545" s="4"/>
      <c r="CV1545" s="4"/>
      <c r="CW1545" s="4"/>
      <c r="CX1545" s="4"/>
      <c r="CY1545" s="4"/>
      <c r="CZ1545" s="4"/>
      <c r="DA1545" s="4"/>
      <c r="DB1545" s="4"/>
      <c r="DC1545" s="4"/>
      <c r="DD1545" s="4"/>
      <c r="DE1545" s="4"/>
      <c r="DF1545" s="4"/>
      <c r="DG1545" s="4"/>
      <c r="DH1545" s="4"/>
      <c r="DI1545" s="4"/>
      <c r="DJ1545" s="4"/>
      <c r="DK1545" s="4"/>
      <c r="DL1545" s="4"/>
      <c r="DM1545" s="4"/>
      <c r="DN1545" s="4"/>
      <c r="DO1545" s="4"/>
      <c r="DP1545" s="4"/>
      <c r="DQ1545" s="4"/>
      <c r="DR1545" s="4"/>
    </row>
    <row r="1546" spans="1:122" x14ac:dyDescent="0.25">
      <c r="A1546" s="2" t="s">
        <v>15</v>
      </c>
      <c r="B1546" s="2" t="str">
        <f>"FES1162769336"</f>
        <v>FES1162769336</v>
      </c>
      <c r="C1546" s="2" t="s">
        <v>1084</v>
      </c>
      <c r="D1546" s="2">
        <v>1</v>
      </c>
      <c r="E1546" s="2" t="str">
        <f>"2170756437"</f>
        <v>2170756437</v>
      </c>
      <c r="F1546" s="2" t="s">
        <v>17</v>
      </c>
      <c r="G1546" s="2" t="s">
        <v>18</v>
      </c>
      <c r="H1546" s="2" t="s">
        <v>33</v>
      </c>
      <c r="I1546" s="2" t="s">
        <v>34</v>
      </c>
      <c r="J1546" s="2" t="s">
        <v>371</v>
      </c>
      <c r="K1546" s="2" t="s">
        <v>1190</v>
      </c>
      <c r="L1546" s="3">
        <v>0.43333333333333335</v>
      </c>
      <c r="M1546" s="2" t="s">
        <v>1276</v>
      </c>
      <c r="N1546" s="2" t="s">
        <v>500</v>
      </c>
      <c r="O1546" s="2"/>
      <c r="P1546" s="4"/>
      <c r="Q1546" s="4"/>
      <c r="R1546" s="4"/>
      <c r="S1546" s="4"/>
      <c r="T1546" s="4"/>
      <c r="U1546" s="4"/>
      <c r="V1546" s="4"/>
      <c r="W1546" s="4"/>
      <c r="X1546" s="4"/>
      <c r="Y1546" s="4"/>
      <c r="Z1546" s="4"/>
      <c r="AA1546" s="4"/>
      <c r="AB1546" s="4"/>
      <c r="AC1546" s="4"/>
      <c r="AD1546" s="4"/>
      <c r="AE1546" s="4"/>
      <c r="AF1546" s="4"/>
      <c r="AG1546" s="4"/>
      <c r="AH1546" s="4"/>
      <c r="AI1546" s="4"/>
      <c r="AJ1546" s="4"/>
      <c r="AK1546" s="4"/>
      <c r="AL1546" s="4"/>
      <c r="AM1546" s="4"/>
      <c r="AN1546" s="4"/>
      <c r="AO1546" s="4"/>
      <c r="AP1546" s="4"/>
      <c r="AQ1546" s="4"/>
      <c r="AR1546" s="4"/>
      <c r="AS1546" s="4"/>
      <c r="AT1546" s="4"/>
      <c r="AU1546" s="4"/>
      <c r="AV1546" s="4"/>
      <c r="AW1546" s="4"/>
      <c r="AX1546" s="4"/>
      <c r="AY1546" s="4"/>
      <c r="AZ1546" s="4"/>
      <c r="BA1546" s="4"/>
      <c r="BB1546" s="4"/>
      <c r="BC1546" s="4"/>
      <c r="BD1546" s="4"/>
      <c r="BE1546" s="4"/>
      <c r="BF1546" s="4"/>
      <c r="BG1546" s="4"/>
      <c r="BH1546" s="4"/>
      <c r="BI1546" s="4"/>
      <c r="BJ1546" s="4"/>
      <c r="BK1546" s="4"/>
      <c r="BL1546" s="4"/>
      <c r="BM1546" s="4"/>
      <c r="BN1546" s="4"/>
      <c r="BO1546" s="4"/>
      <c r="BP1546" s="4"/>
      <c r="BQ1546" s="4"/>
      <c r="BR1546" s="4"/>
      <c r="BS1546" s="4"/>
      <c r="BT1546" s="4"/>
      <c r="BU1546" s="4"/>
      <c r="BV1546" s="4"/>
      <c r="BW1546" s="4"/>
      <c r="BX1546" s="4"/>
      <c r="BY1546" s="4"/>
      <c r="BZ1546" s="4"/>
      <c r="CA1546" s="4"/>
      <c r="CB1546" s="4"/>
      <c r="CC1546" s="4"/>
      <c r="CD1546" s="4"/>
      <c r="CE1546" s="4"/>
      <c r="CF1546" s="4"/>
      <c r="CG1546" s="4"/>
      <c r="CH1546" s="4"/>
      <c r="CI1546" s="4"/>
      <c r="CJ1546" s="4"/>
      <c r="CK1546" s="4"/>
      <c r="CL1546" s="4"/>
      <c r="CM1546" s="4"/>
      <c r="CN1546" s="4"/>
      <c r="CO1546" s="4"/>
      <c r="CP1546" s="4"/>
      <c r="CQ1546" s="4"/>
      <c r="CR1546" s="4"/>
      <c r="CS1546" s="4"/>
      <c r="CT1546" s="4"/>
      <c r="CU1546" s="4"/>
      <c r="CV1546" s="4"/>
      <c r="CW1546" s="4"/>
      <c r="CX1546" s="4"/>
      <c r="CY1546" s="4"/>
      <c r="CZ1546" s="4"/>
      <c r="DA1546" s="4"/>
      <c r="DB1546" s="4"/>
      <c r="DC1546" s="4"/>
      <c r="DD1546" s="4"/>
      <c r="DE1546" s="4"/>
      <c r="DF1546" s="4"/>
      <c r="DG1546" s="4"/>
      <c r="DH1546" s="4"/>
      <c r="DI1546" s="4"/>
      <c r="DJ1546" s="4"/>
      <c r="DK1546" s="4"/>
      <c r="DL1546" s="4"/>
      <c r="DM1546" s="4"/>
      <c r="DN1546" s="4"/>
      <c r="DO1546" s="4"/>
      <c r="DP1546" s="4"/>
      <c r="DQ1546" s="4"/>
      <c r="DR1546" s="4"/>
    </row>
    <row r="1547" spans="1:122" x14ac:dyDescent="0.25">
      <c r="A1547" s="2" t="s">
        <v>15</v>
      </c>
      <c r="B1547" s="2" t="str">
        <f>"FES1162769245"</f>
        <v>FES1162769245</v>
      </c>
      <c r="C1547" s="2" t="s">
        <v>1084</v>
      </c>
      <c r="D1547" s="2">
        <v>1</v>
      </c>
      <c r="E1547" s="2" t="str">
        <f>"2170752521"</f>
        <v>2170752521</v>
      </c>
      <c r="F1547" s="2" t="s">
        <v>17</v>
      </c>
      <c r="G1547" s="2" t="s">
        <v>18</v>
      </c>
      <c r="H1547" s="2" t="s">
        <v>36</v>
      </c>
      <c r="I1547" s="2" t="s">
        <v>67</v>
      </c>
      <c r="J1547" s="2" t="s">
        <v>68</v>
      </c>
      <c r="K1547" s="2" t="s">
        <v>1190</v>
      </c>
      <c r="L1547" s="3">
        <v>0.40069444444444446</v>
      </c>
      <c r="M1547" s="2" t="s">
        <v>68</v>
      </c>
      <c r="N1547" s="2" t="s">
        <v>500</v>
      </c>
      <c r="O1547" s="2"/>
      <c r="P1547" s="4"/>
      <c r="Q1547" s="4"/>
      <c r="R1547" s="4"/>
      <c r="S1547" s="4"/>
      <c r="T1547" s="4"/>
      <c r="U1547" s="4"/>
      <c r="V1547" s="4"/>
      <c r="W1547" s="4"/>
      <c r="X1547" s="4"/>
      <c r="Y1547" s="4"/>
      <c r="Z1547" s="4"/>
      <c r="AA1547" s="4"/>
      <c r="AB1547" s="4"/>
      <c r="AC1547" s="4"/>
      <c r="AD1547" s="4"/>
      <c r="AE1547" s="4"/>
      <c r="AF1547" s="4"/>
      <c r="AG1547" s="4"/>
      <c r="AH1547" s="4"/>
      <c r="AI1547" s="4"/>
      <c r="AJ1547" s="4"/>
      <c r="AK1547" s="4"/>
      <c r="AL1547" s="4"/>
      <c r="AM1547" s="4"/>
      <c r="AN1547" s="4"/>
      <c r="AO1547" s="4"/>
      <c r="AP1547" s="4"/>
      <c r="AQ1547" s="4"/>
      <c r="AR1547" s="4"/>
      <c r="AS1547" s="4"/>
      <c r="AT1547" s="4"/>
      <c r="AU1547" s="4"/>
      <c r="AV1547" s="4"/>
      <c r="AW1547" s="4"/>
      <c r="AX1547" s="4"/>
      <c r="AY1547" s="4"/>
      <c r="AZ1547" s="4"/>
      <c r="BA1547" s="4"/>
      <c r="BB1547" s="4"/>
      <c r="BC1547" s="4"/>
      <c r="BD1547" s="4"/>
      <c r="BE1547" s="4"/>
      <c r="BF1547" s="4"/>
      <c r="BG1547" s="4"/>
      <c r="BH1547" s="4"/>
      <c r="BI1547" s="4"/>
      <c r="BJ1547" s="4"/>
      <c r="BK1547" s="4"/>
      <c r="BL1547" s="4"/>
      <c r="BM1547" s="4"/>
      <c r="BN1547" s="4"/>
      <c r="BO1547" s="4"/>
      <c r="BP1547" s="4"/>
      <c r="BQ1547" s="4"/>
      <c r="BR1547" s="4"/>
      <c r="BS1547" s="4"/>
      <c r="BT1547" s="4"/>
      <c r="BU1547" s="4"/>
      <c r="BV1547" s="4"/>
      <c r="BW1547" s="4"/>
      <c r="BX1547" s="4"/>
      <c r="BY1547" s="4"/>
      <c r="BZ1547" s="4"/>
      <c r="CA1547" s="4"/>
      <c r="CB1547" s="4"/>
      <c r="CC1547" s="4"/>
      <c r="CD1547" s="4"/>
      <c r="CE1547" s="4"/>
      <c r="CF1547" s="4"/>
      <c r="CG1547" s="4"/>
      <c r="CH1547" s="4"/>
      <c r="CI1547" s="4"/>
      <c r="CJ1547" s="4"/>
      <c r="CK1547" s="4"/>
      <c r="CL1547" s="4"/>
      <c r="CM1547" s="4"/>
      <c r="CN1547" s="4"/>
      <c r="CO1547" s="4"/>
      <c r="CP1547" s="4"/>
      <c r="CQ1547" s="4"/>
      <c r="CR1547" s="4"/>
      <c r="CS1547" s="4"/>
      <c r="CT1547" s="4"/>
      <c r="CU1547" s="4"/>
      <c r="CV1547" s="4"/>
      <c r="CW1547" s="4"/>
      <c r="CX1547" s="4"/>
      <c r="CY1547" s="4"/>
      <c r="CZ1547" s="4"/>
      <c r="DA1547" s="4"/>
      <c r="DB1547" s="4"/>
      <c r="DC1547" s="4"/>
      <c r="DD1547" s="4"/>
      <c r="DE1547" s="4"/>
      <c r="DF1547" s="4"/>
      <c r="DG1547" s="4"/>
      <c r="DH1547" s="4"/>
      <c r="DI1547" s="4"/>
      <c r="DJ1547" s="4"/>
      <c r="DK1547" s="4"/>
      <c r="DL1547" s="4"/>
      <c r="DM1547" s="4"/>
      <c r="DN1547" s="4"/>
      <c r="DO1547" s="4"/>
      <c r="DP1547" s="4"/>
      <c r="DQ1547" s="4"/>
      <c r="DR1547" s="4"/>
    </row>
    <row r="1548" spans="1:122" x14ac:dyDescent="0.25">
      <c r="A1548" s="2" t="s">
        <v>15</v>
      </c>
      <c r="B1548" s="2" t="str">
        <f>"FES1162769399"</f>
        <v>FES1162769399</v>
      </c>
      <c r="C1548" s="2" t="s">
        <v>1084</v>
      </c>
      <c r="D1548" s="2">
        <v>1</v>
      </c>
      <c r="E1548" s="2" t="str">
        <f>"2170756882"</f>
        <v>2170756882</v>
      </c>
      <c r="F1548" s="2" t="s">
        <v>17</v>
      </c>
      <c r="G1548" s="2" t="s">
        <v>18</v>
      </c>
      <c r="H1548" s="2" t="s">
        <v>36</v>
      </c>
      <c r="I1548" s="2" t="s">
        <v>37</v>
      </c>
      <c r="J1548" s="2" t="s">
        <v>104</v>
      </c>
      <c r="K1548" s="2" t="s">
        <v>1190</v>
      </c>
      <c r="L1548" s="3">
        <v>0.37986111111111115</v>
      </c>
      <c r="M1548" s="2" t="s">
        <v>672</v>
      </c>
      <c r="N1548" s="2" t="s">
        <v>500</v>
      </c>
      <c r="O1548" s="2"/>
      <c r="P1548" s="4"/>
      <c r="Q1548" s="4"/>
      <c r="R1548" s="4"/>
      <c r="S1548" s="4"/>
      <c r="T1548" s="4"/>
      <c r="U1548" s="4"/>
      <c r="V1548" s="4"/>
      <c r="W1548" s="4"/>
      <c r="X1548" s="4"/>
      <c r="Y1548" s="4"/>
      <c r="Z1548" s="4"/>
      <c r="AA1548" s="4"/>
      <c r="AB1548" s="4"/>
      <c r="AC1548" s="4"/>
      <c r="AD1548" s="4"/>
      <c r="AE1548" s="4"/>
      <c r="AF1548" s="4"/>
      <c r="AG1548" s="4"/>
      <c r="AH1548" s="4"/>
      <c r="AI1548" s="4"/>
      <c r="AJ1548" s="4"/>
      <c r="AK1548" s="4"/>
      <c r="AL1548" s="4"/>
      <c r="AM1548" s="4"/>
      <c r="AN1548" s="4"/>
      <c r="AO1548" s="4"/>
      <c r="AP1548" s="4"/>
      <c r="AQ1548" s="4"/>
      <c r="AR1548" s="4"/>
      <c r="AS1548" s="4"/>
      <c r="AT1548" s="4"/>
      <c r="AU1548" s="4"/>
      <c r="AV1548" s="4"/>
      <c r="AW1548" s="4"/>
      <c r="AX1548" s="4"/>
      <c r="AY1548" s="4"/>
      <c r="AZ1548" s="4"/>
      <c r="BA1548" s="4"/>
      <c r="BB1548" s="4"/>
      <c r="BC1548" s="4"/>
      <c r="BD1548" s="4"/>
      <c r="BE1548" s="4"/>
      <c r="BF1548" s="4"/>
      <c r="BG1548" s="4"/>
      <c r="BH1548" s="4"/>
      <c r="BI1548" s="4"/>
      <c r="BJ1548" s="4"/>
      <c r="BK1548" s="4"/>
      <c r="BL1548" s="4"/>
      <c r="BM1548" s="4"/>
      <c r="BN1548" s="4"/>
      <c r="BO1548" s="4"/>
      <c r="BP1548" s="4"/>
      <c r="BQ1548" s="4"/>
      <c r="BR1548" s="4"/>
      <c r="BS1548" s="4"/>
      <c r="BT1548" s="4"/>
      <c r="BU1548" s="4"/>
      <c r="BV1548" s="4"/>
      <c r="BW1548" s="4"/>
      <c r="BX1548" s="4"/>
      <c r="BY1548" s="4"/>
      <c r="BZ1548" s="4"/>
      <c r="CA1548" s="4"/>
      <c r="CB1548" s="4"/>
      <c r="CC1548" s="4"/>
      <c r="CD1548" s="4"/>
      <c r="CE1548" s="4"/>
      <c r="CF1548" s="4"/>
      <c r="CG1548" s="4"/>
      <c r="CH1548" s="4"/>
      <c r="CI1548" s="4"/>
      <c r="CJ1548" s="4"/>
      <c r="CK1548" s="4"/>
      <c r="CL1548" s="4"/>
      <c r="CM1548" s="4"/>
      <c r="CN1548" s="4"/>
      <c r="CO1548" s="4"/>
      <c r="CP1548" s="4"/>
      <c r="CQ1548" s="4"/>
      <c r="CR1548" s="4"/>
      <c r="CS1548" s="4"/>
      <c r="CT1548" s="4"/>
      <c r="CU1548" s="4"/>
      <c r="CV1548" s="4"/>
      <c r="CW1548" s="4"/>
      <c r="CX1548" s="4"/>
      <c r="CY1548" s="4"/>
      <c r="CZ1548" s="4"/>
      <c r="DA1548" s="4"/>
      <c r="DB1548" s="4"/>
      <c r="DC1548" s="4"/>
      <c r="DD1548" s="4"/>
      <c r="DE1548" s="4"/>
      <c r="DF1548" s="4"/>
      <c r="DG1548" s="4"/>
      <c r="DH1548" s="4"/>
      <c r="DI1548" s="4"/>
      <c r="DJ1548" s="4"/>
      <c r="DK1548" s="4"/>
      <c r="DL1548" s="4"/>
      <c r="DM1548" s="4"/>
      <c r="DN1548" s="4"/>
      <c r="DO1548" s="4"/>
      <c r="DP1548" s="4"/>
      <c r="DQ1548" s="4"/>
      <c r="DR1548" s="4"/>
    </row>
    <row r="1549" spans="1:122" x14ac:dyDescent="0.25">
      <c r="A1549" s="2" t="s">
        <v>15</v>
      </c>
      <c r="B1549" s="2" t="str">
        <f>"FES1162769405"</f>
        <v>FES1162769405</v>
      </c>
      <c r="C1549" s="2" t="s">
        <v>1084</v>
      </c>
      <c r="D1549" s="2">
        <v>1</v>
      </c>
      <c r="E1549" s="2" t="str">
        <f>"2170757056"</f>
        <v>2170757056</v>
      </c>
      <c r="F1549" s="2" t="s">
        <v>17</v>
      </c>
      <c r="G1549" s="2" t="s">
        <v>18</v>
      </c>
      <c r="H1549" s="2" t="s">
        <v>33</v>
      </c>
      <c r="I1549" s="2" t="s">
        <v>34</v>
      </c>
      <c r="J1549" s="2" t="s">
        <v>152</v>
      </c>
      <c r="K1549" s="2" t="s">
        <v>1190</v>
      </c>
      <c r="L1549" s="3">
        <v>0.41319444444444442</v>
      </c>
      <c r="M1549" s="2" t="s">
        <v>1277</v>
      </c>
      <c r="N1549" s="2" t="s">
        <v>500</v>
      </c>
      <c r="O1549" s="2"/>
      <c r="P1549" s="4"/>
      <c r="Q1549" s="4"/>
      <c r="R1549" s="4"/>
      <c r="S1549" s="4"/>
      <c r="T1549" s="4"/>
      <c r="U1549" s="4"/>
      <c r="V1549" s="4"/>
      <c r="W1549" s="4"/>
      <c r="X1549" s="4"/>
      <c r="Y1549" s="4"/>
      <c r="Z1549" s="4"/>
      <c r="AA1549" s="4"/>
      <c r="AB1549" s="4"/>
      <c r="AC1549" s="4"/>
      <c r="AD1549" s="4"/>
      <c r="AE1549" s="4"/>
      <c r="AF1549" s="4"/>
      <c r="AG1549" s="4"/>
      <c r="AH1549" s="4"/>
      <c r="AI1549" s="4"/>
      <c r="AJ1549" s="4"/>
      <c r="AK1549" s="4"/>
      <c r="AL1549" s="4"/>
      <c r="AM1549" s="4"/>
      <c r="AN1549" s="4"/>
      <c r="AO1549" s="4"/>
      <c r="AP1549" s="4"/>
      <c r="AQ1549" s="4"/>
      <c r="AR1549" s="4"/>
      <c r="AS1549" s="4"/>
      <c r="AT1549" s="4"/>
      <c r="AU1549" s="4"/>
      <c r="AV1549" s="4"/>
      <c r="AW1549" s="4"/>
      <c r="AX1549" s="4"/>
      <c r="AY1549" s="4"/>
      <c r="AZ1549" s="4"/>
      <c r="BA1549" s="4"/>
      <c r="BB1549" s="4"/>
      <c r="BC1549" s="4"/>
      <c r="BD1549" s="4"/>
      <c r="BE1549" s="4"/>
      <c r="BF1549" s="4"/>
      <c r="BG1549" s="4"/>
      <c r="BH1549" s="4"/>
      <c r="BI1549" s="4"/>
      <c r="BJ1549" s="4"/>
      <c r="BK1549" s="4"/>
      <c r="BL1549" s="4"/>
      <c r="BM1549" s="4"/>
      <c r="BN1549" s="4"/>
      <c r="BO1549" s="4"/>
      <c r="BP1549" s="4"/>
      <c r="BQ1549" s="4"/>
      <c r="BR1549" s="4"/>
      <c r="BS1549" s="4"/>
      <c r="BT1549" s="4"/>
      <c r="BU1549" s="4"/>
      <c r="BV1549" s="4"/>
      <c r="BW1549" s="4"/>
      <c r="BX1549" s="4"/>
      <c r="BY1549" s="4"/>
      <c r="BZ1549" s="4"/>
      <c r="CA1549" s="4"/>
      <c r="CB1549" s="4"/>
      <c r="CC1549" s="4"/>
      <c r="CD1549" s="4"/>
      <c r="CE1549" s="4"/>
      <c r="CF1549" s="4"/>
      <c r="CG1549" s="4"/>
      <c r="CH1549" s="4"/>
      <c r="CI1549" s="4"/>
      <c r="CJ1549" s="4"/>
      <c r="CK1549" s="4"/>
      <c r="CL1549" s="4"/>
      <c r="CM1549" s="4"/>
      <c r="CN1549" s="4"/>
      <c r="CO1549" s="4"/>
      <c r="CP1549" s="4"/>
      <c r="CQ1549" s="4"/>
      <c r="CR1549" s="4"/>
      <c r="CS1549" s="4"/>
      <c r="CT1549" s="4"/>
      <c r="CU1549" s="4"/>
      <c r="CV1549" s="4"/>
      <c r="CW1549" s="4"/>
      <c r="CX1549" s="4"/>
      <c r="CY1549" s="4"/>
      <c r="CZ1549" s="4"/>
      <c r="DA1549" s="4"/>
      <c r="DB1549" s="4"/>
      <c r="DC1549" s="4"/>
      <c r="DD1549" s="4"/>
      <c r="DE1549" s="4"/>
      <c r="DF1549" s="4"/>
      <c r="DG1549" s="4"/>
      <c r="DH1549" s="4"/>
      <c r="DI1549" s="4"/>
      <c r="DJ1549" s="4"/>
      <c r="DK1549" s="4"/>
      <c r="DL1549" s="4"/>
      <c r="DM1549" s="4"/>
      <c r="DN1549" s="4"/>
      <c r="DO1549" s="4"/>
      <c r="DP1549" s="4"/>
      <c r="DQ1549" s="4"/>
      <c r="DR1549" s="4"/>
    </row>
    <row r="1550" spans="1:122" x14ac:dyDescent="0.25">
      <c r="A1550" s="2" t="s">
        <v>15</v>
      </c>
      <c r="B1550" s="2" t="str">
        <f>"FES1162769361"</f>
        <v>FES1162769361</v>
      </c>
      <c r="C1550" s="2" t="s">
        <v>1084</v>
      </c>
      <c r="D1550" s="2">
        <v>1</v>
      </c>
      <c r="E1550" s="2" t="str">
        <f>"2170754248"</f>
        <v>2170754248</v>
      </c>
      <c r="F1550" s="2" t="s">
        <v>17</v>
      </c>
      <c r="G1550" s="2" t="s">
        <v>18</v>
      </c>
      <c r="H1550" s="2" t="s">
        <v>36</v>
      </c>
      <c r="I1550" s="2" t="s">
        <v>37</v>
      </c>
      <c r="J1550" s="2" t="s">
        <v>162</v>
      </c>
      <c r="K1550" s="2" t="s">
        <v>1190</v>
      </c>
      <c r="L1550" s="3">
        <v>0.33333333333333331</v>
      </c>
      <c r="M1550" s="2" t="s">
        <v>268</v>
      </c>
      <c r="N1550" s="2" t="s">
        <v>500</v>
      </c>
      <c r="O1550" s="2"/>
      <c r="P1550" s="4"/>
      <c r="Q1550" s="4"/>
      <c r="R1550" s="4"/>
      <c r="S1550" s="4"/>
      <c r="T1550" s="4"/>
      <c r="U1550" s="4"/>
      <c r="V1550" s="4"/>
      <c r="W1550" s="4"/>
      <c r="X1550" s="4"/>
      <c r="Y1550" s="4"/>
      <c r="Z1550" s="4"/>
      <c r="AA1550" s="4"/>
      <c r="AB1550" s="4"/>
      <c r="AC1550" s="4"/>
      <c r="AD1550" s="4"/>
      <c r="AE1550" s="4"/>
      <c r="AF1550" s="4"/>
      <c r="AG1550" s="4"/>
      <c r="AH1550" s="4"/>
      <c r="AI1550" s="4"/>
      <c r="AJ1550" s="4"/>
      <c r="AK1550" s="4"/>
      <c r="AL1550" s="4"/>
      <c r="AM1550" s="4"/>
      <c r="AN1550" s="4"/>
      <c r="AO1550" s="4"/>
      <c r="AP1550" s="4"/>
      <c r="AQ1550" s="4"/>
      <c r="AR1550" s="4"/>
      <c r="AS1550" s="4"/>
      <c r="AT1550" s="4"/>
      <c r="AU1550" s="4"/>
      <c r="AV1550" s="4"/>
      <c r="AW1550" s="4"/>
      <c r="AX1550" s="4"/>
      <c r="AY1550" s="4"/>
      <c r="AZ1550" s="4"/>
      <c r="BA1550" s="4"/>
      <c r="BB1550" s="4"/>
      <c r="BC1550" s="4"/>
      <c r="BD1550" s="4"/>
      <c r="BE1550" s="4"/>
      <c r="BF1550" s="4"/>
      <c r="BG1550" s="4"/>
      <c r="BH1550" s="4"/>
      <c r="BI1550" s="4"/>
      <c r="BJ1550" s="4"/>
      <c r="BK1550" s="4"/>
      <c r="BL1550" s="4"/>
      <c r="BM1550" s="4"/>
      <c r="BN1550" s="4"/>
      <c r="BO1550" s="4"/>
      <c r="BP1550" s="4"/>
      <c r="BQ1550" s="4"/>
      <c r="BR1550" s="4"/>
      <c r="BS1550" s="4"/>
      <c r="BT1550" s="4"/>
      <c r="BU1550" s="4"/>
      <c r="BV1550" s="4"/>
      <c r="BW1550" s="4"/>
      <c r="BX1550" s="4"/>
      <c r="BY1550" s="4"/>
      <c r="BZ1550" s="4"/>
      <c r="CA1550" s="4"/>
      <c r="CB1550" s="4"/>
      <c r="CC1550" s="4"/>
      <c r="CD1550" s="4"/>
      <c r="CE1550" s="4"/>
      <c r="CF1550" s="4"/>
      <c r="CG1550" s="4"/>
      <c r="CH1550" s="4"/>
      <c r="CI1550" s="4"/>
      <c r="CJ1550" s="4"/>
      <c r="CK1550" s="4"/>
      <c r="CL1550" s="4"/>
      <c r="CM1550" s="4"/>
      <c r="CN1550" s="4"/>
      <c r="CO1550" s="4"/>
      <c r="CP1550" s="4"/>
      <c r="CQ1550" s="4"/>
      <c r="CR1550" s="4"/>
      <c r="CS1550" s="4"/>
      <c r="CT1550" s="4"/>
      <c r="CU1550" s="4"/>
      <c r="CV1550" s="4"/>
      <c r="CW1550" s="4"/>
      <c r="CX1550" s="4"/>
      <c r="CY1550" s="4"/>
      <c r="CZ1550" s="4"/>
      <c r="DA1550" s="4"/>
      <c r="DB1550" s="4"/>
      <c r="DC1550" s="4"/>
      <c r="DD1550" s="4"/>
      <c r="DE1550" s="4"/>
      <c r="DF1550" s="4"/>
      <c r="DG1550" s="4"/>
      <c r="DH1550" s="4"/>
      <c r="DI1550" s="4"/>
      <c r="DJ1550" s="4"/>
      <c r="DK1550" s="4"/>
      <c r="DL1550" s="4"/>
      <c r="DM1550" s="4"/>
      <c r="DN1550" s="4"/>
      <c r="DO1550" s="4"/>
      <c r="DP1550" s="4"/>
      <c r="DQ1550" s="4"/>
      <c r="DR1550" s="4"/>
    </row>
    <row r="1551" spans="1:122" x14ac:dyDescent="0.25">
      <c r="A1551" s="2" t="s">
        <v>15</v>
      </c>
      <c r="B1551" s="2" t="str">
        <f>"FES1162769404"</f>
        <v>FES1162769404</v>
      </c>
      <c r="C1551" s="2" t="s">
        <v>1084</v>
      </c>
      <c r="D1551" s="2">
        <v>1</v>
      </c>
      <c r="E1551" s="2" t="str">
        <f>"2170756709"</f>
        <v>2170756709</v>
      </c>
      <c r="F1551" s="2" t="s">
        <v>17</v>
      </c>
      <c r="G1551" s="2" t="s">
        <v>18</v>
      </c>
      <c r="H1551" s="2" t="s">
        <v>36</v>
      </c>
      <c r="I1551" s="2" t="s">
        <v>37</v>
      </c>
      <c r="J1551" s="2" t="s">
        <v>104</v>
      </c>
      <c r="K1551" s="2" t="s">
        <v>1190</v>
      </c>
      <c r="L1551" s="3">
        <v>0.37986111111111115</v>
      </c>
      <c r="M1551" s="2" t="s">
        <v>672</v>
      </c>
      <c r="N1551" s="2" t="s">
        <v>500</v>
      </c>
      <c r="O1551" s="2"/>
      <c r="P1551" s="4"/>
      <c r="Q1551" s="4"/>
      <c r="R1551" s="4"/>
      <c r="S1551" s="4"/>
      <c r="T1551" s="4"/>
      <c r="U1551" s="4"/>
      <c r="V1551" s="4"/>
      <c r="W1551" s="4"/>
      <c r="X1551" s="4"/>
      <c r="Y1551" s="4"/>
      <c r="Z1551" s="4"/>
      <c r="AA1551" s="4"/>
      <c r="AB1551" s="4"/>
      <c r="AC1551" s="4"/>
      <c r="AD1551" s="4"/>
      <c r="AE1551" s="4"/>
      <c r="AF1551" s="4"/>
      <c r="AG1551" s="4"/>
      <c r="AH1551" s="4"/>
      <c r="AI1551" s="4"/>
      <c r="AJ1551" s="4"/>
      <c r="AK1551" s="4"/>
      <c r="AL1551" s="4"/>
      <c r="AM1551" s="4"/>
      <c r="AN1551" s="4"/>
      <c r="AO1551" s="4"/>
      <c r="AP1551" s="4"/>
      <c r="AQ1551" s="4"/>
      <c r="AR1551" s="4"/>
      <c r="AS1551" s="4"/>
      <c r="AT1551" s="4"/>
      <c r="AU1551" s="4"/>
      <c r="AV1551" s="4"/>
      <c r="AW1551" s="4"/>
      <c r="AX1551" s="4"/>
      <c r="AY1551" s="4"/>
      <c r="AZ1551" s="4"/>
      <c r="BA1551" s="4"/>
      <c r="BB1551" s="4"/>
      <c r="BC1551" s="4"/>
      <c r="BD1551" s="4"/>
      <c r="BE1551" s="4"/>
      <c r="BF1551" s="4"/>
      <c r="BG1551" s="4"/>
      <c r="BH1551" s="4"/>
      <c r="BI1551" s="4"/>
      <c r="BJ1551" s="4"/>
      <c r="BK1551" s="4"/>
      <c r="BL1551" s="4"/>
      <c r="BM1551" s="4"/>
      <c r="BN1551" s="4"/>
      <c r="BO1551" s="4"/>
      <c r="BP1551" s="4"/>
      <c r="BQ1551" s="4"/>
      <c r="BR1551" s="4"/>
      <c r="BS1551" s="4"/>
      <c r="BT1551" s="4"/>
      <c r="BU1551" s="4"/>
      <c r="BV1551" s="4"/>
      <c r="BW1551" s="4"/>
      <c r="BX1551" s="4"/>
      <c r="BY1551" s="4"/>
      <c r="BZ1551" s="4"/>
      <c r="CA1551" s="4"/>
      <c r="CB1551" s="4"/>
      <c r="CC1551" s="4"/>
      <c r="CD1551" s="4"/>
      <c r="CE1551" s="4"/>
      <c r="CF1551" s="4"/>
      <c r="CG1551" s="4"/>
      <c r="CH1551" s="4"/>
      <c r="CI1551" s="4"/>
      <c r="CJ1551" s="4"/>
      <c r="CK1551" s="4"/>
      <c r="CL1551" s="4"/>
      <c r="CM1551" s="4"/>
      <c r="CN1551" s="4"/>
      <c r="CO1551" s="4"/>
      <c r="CP1551" s="4"/>
      <c r="CQ1551" s="4"/>
      <c r="CR1551" s="4"/>
      <c r="CS1551" s="4"/>
      <c r="CT1551" s="4"/>
      <c r="CU1551" s="4"/>
      <c r="CV1551" s="4"/>
      <c r="CW1551" s="4"/>
      <c r="CX1551" s="4"/>
      <c r="CY1551" s="4"/>
      <c r="CZ1551" s="4"/>
      <c r="DA1551" s="4"/>
      <c r="DB1551" s="4"/>
      <c r="DC1551" s="4"/>
      <c r="DD1551" s="4"/>
      <c r="DE1551" s="4"/>
      <c r="DF1551" s="4"/>
      <c r="DG1551" s="4"/>
      <c r="DH1551" s="4"/>
      <c r="DI1551" s="4"/>
      <c r="DJ1551" s="4"/>
      <c r="DK1551" s="4"/>
      <c r="DL1551" s="4"/>
      <c r="DM1551" s="4"/>
      <c r="DN1551" s="4"/>
      <c r="DO1551" s="4"/>
      <c r="DP1551" s="4"/>
      <c r="DQ1551" s="4"/>
      <c r="DR1551" s="4"/>
    </row>
    <row r="1552" spans="1:122" x14ac:dyDescent="0.25">
      <c r="A1552" s="2" t="s">
        <v>15</v>
      </c>
      <c r="B1552" s="2" t="str">
        <f>"FES1162769373"</f>
        <v>FES1162769373</v>
      </c>
      <c r="C1552" s="2" t="s">
        <v>1084</v>
      </c>
      <c r="D1552" s="2">
        <v>1</v>
      </c>
      <c r="E1552" s="2" t="str">
        <f>"2170755630"</f>
        <v>2170755630</v>
      </c>
      <c r="F1552" s="2" t="s">
        <v>17</v>
      </c>
      <c r="G1552" s="2" t="s">
        <v>18</v>
      </c>
      <c r="H1552" s="2" t="s">
        <v>36</v>
      </c>
      <c r="I1552" s="2" t="s">
        <v>37</v>
      </c>
      <c r="J1552" s="2" t="s">
        <v>378</v>
      </c>
      <c r="K1552" s="2" t="s">
        <v>1190</v>
      </c>
      <c r="L1552" s="3">
        <v>0.43055555555555558</v>
      </c>
      <c r="M1552" s="2" t="s">
        <v>408</v>
      </c>
      <c r="N1552" s="2" t="s">
        <v>500</v>
      </c>
      <c r="O1552" s="2"/>
      <c r="P1552" s="4"/>
      <c r="Q1552" s="4"/>
      <c r="R1552" s="4"/>
      <c r="S1552" s="4"/>
      <c r="T1552" s="4"/>
      <c r="U1552" s="4"/>
      <c r="V1552" s="4"/>
      <c r="W1552" s="4"/>
      <c r="X1552" s="4"/>
      <c r="Y1552" s="4"/>
      <c r="Z1552" s="4"/>
      <c r="AA1552" s="4"/>
      <c r="AB1552" s="4"/>
      <c r="AC1552" s="4"/>
      <c r="AD1552" s="4"/>
      <c r="AE1552" s="4"/>
      <c r="AF1552" s="4"/>
      <c r="AG1552" s="4"/>
      <c r="AH1552" s="4"/>
      <c r="AI1552" s="4"/>
      <c r="AJ1552" s="4"/>
      <c r="AK1552" s="4"/>
      <c r="AL1552" s="4"/>
      <c r="AM1552" s="4"/>
      <c r="AN1552" s="4"/>
      <c r="AO1552" s="4"/>
      <c r="AP1552" s="4"/>
      <c r="AQ1552" s="4"/>
      <c r="AR1552" s="4"/>
      <c r="AS1552" s="4"/>
      <c r="AT1552" s="4"/>
      <c r="AU1552" s="4"/>
      <c r="AV1552" s="4"/>
      <c r="AW1552" s="4"/>
      <c r="AX1552" s="4"/>
      <c r="AY1552" s="4"/>
      <c r="AZ1552" s="4"/>
      <c r="BA1552" s="4"/>
      <c r="BB1552" s="4"/>
      <c r="BC1552" s="4"/>
      <c r="BD1552" s="4"/>
      <c r="BE1552" s="4"/>
      <c r="BF1552" s="4"/>
      <c r="BG1552" s="4"/>
      <c r="BH1552" s="4"/>
      <c r="BI1552" s="4"/>
      <c r="BJ1552" s="4"/>
      <c r="BK1552" s="4"/>
      <c r="BL1552" s="4"/>
      <c r="BM1552" s="4"/>
      <c r="BN1552" s="4"/>
      <c r="BO1552" s="4"/>
      <c r="BP1552" s="4"/>
      <c r="BQ1552" s="4"/>
      <c r="BR1552" s="4"/>
      <c r="BS1552" s="4"/>
      <c r="BT1552" s="4"/>
      <c r="BU1552" s="4"/>
      <c r="BV1552" s="4"/>
      <c r="BW1552" s="4"/>
      <c r="BX1552" s="4"/>
      <c r="BY1552" s="4"/>
      <c r="BZ1552" s="4"/>
      <c r="CA1552" s="4"/>
      <c r="CB1552" s="4"/>
      <c r="CC1552" s="4"/>
      <c r="CD1552" s="4"/>
      <c r="CE1552" s="4"/>
      <c r="CF1552" s="4"/>
      <c r="CG1552" s="4"/>
      <c r="CH1552" s="4"/>
      <c r="CI1552" s="4"/>
      <c r="CJ1552" s="4"/>
      <c r="CK1552" s="4"/>
      <c r="CL1552" s="4"/>
      <c r="CM1552" s="4"/>
      <c r="CN1552" s="4"/>
      <c r="CO1552" s="4"/>
      <c r="CP1552" s="4"/>
      <c r="CQ1552" s="4"/>
      <c r="CR1552" s="4"/>
      <c r="CS1552" s="4"/>
      <c r="CT1552" s="4"/>
      <c r="CU1552" s="4"/>
      <c r="CV1552" s="4"/>
      <c r="CW1552" s="4"/>
      <c r="CX1552" s="4"/>
      <c r="CY1552" s="4"/>
      <c r="CZ1552" s="4"/>
      <c r="DA1552" s="4"/>
      <c r="DB1552" s="4"/>
      <c r="DC1552" s="4"/>
      <c r="DD1552" s="4"/>
      <c r="DE1552" s="4"/>
      <c r="DF1552" s="4"/>
      <c r="DG1552" s="4"/>
      <c r="DH1552" s="4"/>
      <c r="DI1552" s="4"/>
      <c r="DJ1552" s="4"/>
      <c r="DK1552" s="4"/>
      <c r="DL1552" s="4"/>
      <c r="DM1552" s="4"/>
      <c r="DN1552" s="4"/>
      <c r="DO1552" s="4"/>
      <c r="DP1552" s="4"/>
      <c r="DQ1552" s="4"/>
      <c r="DR1552" s="4"/>
    </row>
    <row r="1553" spans="1:122" s="11" customFormat="1" x14ac:dyDescent="0.25">
      <c r="A1553" s="5" t="s">
        <v>15</v>
      </c>
      <c r="B1553" s="5" t="str">
        <f>"FES1162769382"</f>
        <v>FES1162769382</v>
      </c>
      <c r="C1553" s="5" t="s">
        <v>1084</v>
      </c>
      <c r="D1553" s="5">
        <v>1</v>
      </c>
      <c r="E1553" s="5" t="str">
        <f>"2170756422"</f>
        <v>2170756422</v>
      </c>
      <c r="F1553" s="5" t="s">
        <v>17</v>
      </c>
      <c r="G1553" s="5" t="s">
        <v>18</v>
      </c>
      <c r="H1553" s="5" t="s">
        <v>33</v>
      </c>
      <c r="I1553" s="5" t="s">
        <v>1231</v>
      </c>
      <c r="J1553" s="5" t="s">
        <v>1232</v>
      </c>
      <c r="K1553" s="5" t="s">
        <v>1353</v>
      </c>
      <c r="L1553" s="9">
        <v>0.41666666666666669</v>
      </c>
      <c r="M1553" s="5" t="s">
        <v>1824</v>
      </c>
      <c r="N1553" s="5" t="s">
        <v>500</v>
      </c>
      <c r="O1553" s="5"/>
      <c r="P1553" s="4"/>
      <c r="Q1553" s="4"/>
      <c r="R1553" s="4"/>
      <c r="S1553" s="4"/>
      <c r="T1553" s="4"/>
      <c r="U1553" s="4"/>
      <c r="V1553" s="4"/>
      <c r="W1553" s="4"/>
      <c r="X1553" s="4"/>
      <c r="Y1553" s="4"/>
      <c r="Z1553" s="4"/>
      <c r="AA1553" s="4"/>
      <c r="AB1553" s="4"/>
      <c r="AC1553" s="4"/>
      <c r="AD1553" s="4"/>
      <c r="AE1553" s="4"/>
      <c r="AF1553" s="4"/>
      <c r="AG1553" s="4"/>
      <c r="AH1553" s="4"/>
      <c r="AI1553" s="4"/>
      <c r="AJ1553" s="4"/>
      <c r="AK1553" s="4"/>
      <c r="AL1553" s="4"/>
      <c r="AM1553" s="4"/>
      <c r="AN1553" s="4"/>
      <c r="AO1553" s="4"/>
      <c r="AP1553" s="4"/>
      <c r="AQ1553" s="4"/>
      <c r="AR1553" s="4"/>
      <c r="AS1553" s="4"/>
      <c r="AT1553" s="4"/>
      <c r="AU1553" s="4"/>
      <c r="AV1553" s="4"/>
      <c r="AW1553" s="4"/>
      <c r="AX1553" s="4"/>
      <c r="AY1553" s="4"/>
      <c r="AZ1553" s="4"/>
      <c r="BA1553" s="4"/>
      <c r="BB1553" s="4"/>
      <c r="BC1553" s="4"/>
      <c r="BD1553" s="4"/>
      <c r="BE1553" s="4"/>
      <c r="BF1553" s="4"/>
      <c r="BG1553" s="4"/>
      <c r="BH1553" s="4"/>
      <c r="BI1553" s="4"/>
      <c r="BJ1553" s="4"/>
      <c r="BK1553" s="4"/>
      <c r="BL1553" s="4"/>
      <c r="BM1553" s="4"/>
      <c r="BN1553" s="4"/>
      <c r="BO1553" s="4"/>
      <c r="BP1553" s="4"/>
      <c r="BQ1553" s="4"/>
      <c r="BR1553" s="4"/>
      <c r="BS1553" s="4"/>
      <c r="BT1553" s="4"/>
      <c r="BU1553" s="4"/>
      <c r="BV1553" s="4"/>
      <c r="BW1553" s="4"/>
      <c r="BX1553" s="4"/>
      <c r="BY1553" s="4"/>
      <c r="BZ1553" s="4"/>
      <c r="CA1553" s="4"/>
      <c r="CB1553" s="4"/>
      <c r="CC1553" s="4"/>
      <c r="CD1553" s="4"/>
      <c r="CE1553" s="4"/>
      <c r="CF1553" s="4"/>
      <c r="CG1553" s="4"/>
      <c r="CH1553" s="4"/>
      <c r="CI1553" s="4"/>
      <c r="CJ1553" s="4"/>
      <c r="CK1553" s="4"/>
      <c r="CL1553" s="4"/>
      <c r="CM1553" s="4"/>
      <c r="CN1553" s="4"/>
      <c r="CO1553" s="4"/>
      <c r="CP1553" s="4"/>
      <c r="CQ1553" s="4"/>
      <c r="CR1553" s="4"/>
      <c r="CS1553" s="4"/>
      <c r="CT1553" s="4"/>
      <c r="CU1553" s="4"/>
      <c r="CV1553" s="4"/>
      <c r="CW1553" s="4"/>
      <c r="CX1553" s="4"/>
      <c r="CY1553" s="4"/>
      <c r="CZ1553" s="4"/>
      <c r="DA1553" s="4"/>
      <c r="DB1553" s="4"/>
      <c r="DC1553" s="4"/>
      <c r="DD1553" s="4"/>
      <c r="DE1553" s="4"/>
      <c r="DF1553" s="4"/>
      <c r="DG1553" s="4"/>
      <c r="DH1553" s="4"/>
      <c r="DI1553" s="4"/>
      <c r="DJ1553" s="4"/>
      <c r="DK1553" s="4"/>
      <c r="DL1553" s="4"/>
      <c r="DM1553" s="4"/>
      <c r="DN1553" s="4"/>
      <c r="DO1553" s="4"/>
      <c r="DP1553" s="4"/>
      <c r="DQ1553" s="4"/>
      <c r="DR1553" s="4"/>
    </row>
    <row r="1554" spans="1:122" x14ac:dyDescent="0.25">
      <c r="A1554" s="2" t="s">
        <v>15</v>
      </c>
      <c r="B1554" s="2" t="str">
        <f>"FES1162769356"</f>
        <v>FES1162769356</v>
      </c>
      <c r="C1554" s="2" t="s">
        <v>1084</v>
      </c>
      <c r="D1554" s="2">
        <v>1</v>
      </c>
      <c r="E1554" s="2" t="str">
        <f>"2170756597"</f>
        <v>2170756597</v>
      </c>
      <c r="F1554" s="2" t="s">
        <v>17</v>
      </c>
      <c r="G1554" s="2" t="s">
        <v>18</v>
      </c>
      <c r="H1554" s="2" t="s">
        <v>36</v>
      </c>
      <c r="I1554" s="2" t="s">
        <v>134</v>
      </c>
      <c r="J1554" s="2" t="s">
        <v>135</v>
      </c>
      <c r="K1554" s="2" t="s">
        <v>1190</v>
      </c>
      <c r="L1554" s="3">
        <v>0.57638888888888895</v>
      </c>
      <c r="M1554" s="2" t="s">
        <v>744</v>
      </c>
      <c r="N1554" s="2" t="s">
        <v>500</v>
      </c>
      <c r="O1554" s="2"/>
      <c r="P1554" s="4"/>
      <c r="Q1554" s="4"/>
      <c r="R1554" s="4"/>
      <c r="S1554" s="4"/>
      <c r="T1554" s="4"/>
      <c r="U1554" s="4"/>
      <c r="V1554" s="4"/>
      <c r="W1554" s="4"/>
      <c r="X1554" s="4"/>
      <c r="Y1554" s="4"/>
      <c r="Z1554" s="4"/>
      <c r="AA1554" s="4"/>
      <c r="AB1554" s="4"/>
      <c r="AC1554" s="4"/>
      <c r="AD1554" s="4"/>
      <c r="AE1554" s="4"/>
      <c r="AF1554" s="4"/>
      <c r="AG1554" s="4"/>
      <c r="AH1554" s="4"/>
      <c r="AI1554" s="4"/>
      <c r="AJ1554" s="4"/>
      <c r="AK1554" s="4"/>
      <c r="AL1554" s="4"/>
      <c r="AM1554" s="4"/>
      <c r="AN1554" s="4"/>
      <c r="AO1554" s="4"/>
      <c r="AP1554" s="4"/>
      <c r="AQ1554" s="4"/>
      <c r="AR1554" s="4"/>
      <c r="AS1554" s="4"/>
      <c r="AT1554" s="4"/>
      <c r="AU1554" s="4"/>
      <c r="AV1554" s="4"/>
      <c r="AW1554" s="4"/>
      <c r="AX1554" s="4"/>
      <c r="AY1554" s="4"/>
      <c r="AZ1554" s="4"/>
      <c r="BA1554" s="4"/>
      <c r="BB1554" s="4"/>
      <c r="BC1554" s="4"/>
      <c r="BD1554" s="4"/>
      <c r="BE1554" s="4"/>
      <c r="BF1554" s="4"/>
      <c r="BG1554" s="4"/>
      <c r="BH1554" s="4"/>
      <c r="BI1554" s="4"/>
      <c r="BJ1554" s="4"/>
      <c r="BK1554" s="4"/>
      <c r="BL1554" s="4"/>
      <c r="BM1554" s="4"/>
      <c r="BN1554" s="4"/>
      <c r="BO1554" s="4"/>
      <c r="BP1554" s="4"/>
      <c r="BQ1554" s="4"/>
      <c r="BR1554" s="4"/>
      <c r="BS1554" s="4"/>
      <c r="BT1554" s="4"/>
      <c r="BU1554" s="4"/>
      <c r="BV1554" s="4"/>
      <c r="BW1554" s="4"/>
      <c r="BX1554" s="4"/>
      <c r="BY1554" s="4"/>
      <c r="BZ1554" s="4"/>
      <c r="CA1554" s="4"/>
      <c r="CB1554" s="4"/>
      <c r="CC1554" s="4"/>
      <c r="CD1554" s="4"/>
      <c r="CE1554" s="4"/>
      <c r="CF1554" s="4"/>
      <c r="CG1554" s="4"/>
      <c r="CH1554" s="4"/>
      <c r="CI1554" s="4"/>
      <c r="CJ1554" s="4"/>
      <c r="CK1554" s="4"/>
      <c r="CL1554" s="4"/>
      <c r="CM1554" s="4"/>
      <c r="CN1554" s="4"/>
      <c r="CO1554" s="4"/>
      <c r="CP1554" s="4"/>
      <c r="CQ1554" s="4"/>
      <c r="CR1554" s="4"/>
      <c r="CS1554" s="4"/>
      <c r="CT1554" s="4"/>
      <c r="CU1554" s="4"/>
      <c r="CV1554" s="4"/>
      <c r="CW1554" s="4"/>
      <c r="CX1554" s="4"/>
      <c r="CY1554" s="4"/>
      <c r="CZ1554" s="4"/>
      <c r="DA1554" s="4"/>
      <c r="DB1554" s="4"/>
      <c r="DC1554" s="4"/>
      <c r="DD1554" s="4"/>
      <c r="DE1554" s="4"/>
      <c r="DF1554" s="4"/>
      <c r="DG1554" s="4"/>
      <c r="DH1554" s="4"/>
      <c r="DI1554" s="4"/>
      <c r="DJ1554" s="4"/>
      <c r="DK1554" s="4"/>
      <c r="DL1554" s="4"/>
      <c r="DM1554" s="4"/>
      <c r="DN1554" s="4"/>
      <c r="DO1554" s="4"/>
      <c r="DP1554" s="4"/>
      <c r="DQ1554" s="4"/>
      <c r="DR1554" s="4"/>
    </row>
    <row r="1555" spans="1:122" x14ac:dyDescent="0.25">
      <c r="A1555" s="2" t="s">
        <v>15</v>
      </c>
      <c r="B1555" s="2" t="str">
        <f>"FES1162769385"</f>
        <v>FES1162769385</v>
      </c>
      <c r="C1555" s="2" t="s">
        <v>1084</v>
      </c>
      <c r="D1555" s="2">
        <v>1</v>
      </c>
      <c r="E1555" s="2" t="str">
        <f>"2170756518"</f>
        <v>2170756518</v>
      </c>
      <c r="F1555" s="2" t="s">
        <v>17</v>
      </c>
      <c r="G1555" s="2" t="s">
        <v>18</v>
      </c>
      <c r="H1555" s="2" t="s">
        <v>33</v>
      </c>
      <c r="I1555" s="2" t="s">
        <v>34</v>
      </c>
      <c r="J1555" s="2" t="s">
        <v>317</v>
      </c>
      <c r="K1555" s="2" t="s">
        <v>1190</v>
      </c>
      <c r="L1555" s="3">
        <v>0.41597222222222219</v>
      </c>
      <c r="M1555" s="2" t="s">
        <v>716</v>
      </c>
      <c r="N1555" s="2" t="s">
        <v>500</v>
      </c>
      <c r="O1555" s="2"/>
      <c r="P1555" s="4"/>
      <c r="Q1555" s="4"/>
      <c r="R1555" s="4"/>
      <c r="S1555" s="4"/>
      <c r="T1555" s="4"/>
      <c r="U1555" s="4"/>
      <c r="V1555" s="4"/>
      <c r="W1555" s="4"/>
      <c r="X1555" s="4"/>
      <c r="Y1555" s="4"/>
      <c r="Z1555" s="4"/>
      <c r="AA1555" s="4"/>
      <c r="AB1555" s="4"/>
      <c r="AC1555" s="4"/>
      <c r="AD1555" s="4"/>
      <c r="AE1555" s="4"/>
      <c r="AF1555" s="4"/>
      <c r="AG1555" s="4"/>
      <c r="AH1555" s="4"/>
      <c r="AI1555" s="4"/>
      <c r="AJ1555" s="4"/>
      <c r="AK1555" s="4"/>
      <c r="AL1555" s="4"/>
      <c r="AM1555" s="4"/>
      <c r="AN1555" s="4"/>
      <c r="AO1555" s="4"/>
      <c r="AP1555" s="4"/>
      <c r="AQ1555" s="4"/>
      <c r="AR1555" s="4"/>
      <c r="AS1555" s="4"/>
      <c r="AT1555" s="4"/>
      <c r="AU1555" s="4"/>
      <c r="AV1555" s="4"/>
      <c r="AW1555" s="4"/>
      <c r="AX1555" s="4"/>
      <c r="AY1555" s="4"/>
      <c r="AZ1555" s="4"/>
      <c r="BA1555" s="4"/>
      <c r="BB1555" s="4"/>
      <c r="BC1555" s="4"/>
      <c r="BD1555" s="4"/>
      <c r="BE1555" s="4"/>
      <c r="BF1555" s="4"/>
      <c r="BG1555" s="4"/>
      <c r="BH1555" s="4"/>
      <c r="BI1555" s="4"/>
      <c r="BJ1555" s="4"/>
      <c r="BK1555" s="4"/>
      <c r="BL1555" s="4"/>
      <c r="BM1555" s="4"/>
      <c r="BN1555" s="4"/>
      <c r="BO1555" s="4"/>
      <c r="BP1555" s="4"/>
      <c r="BQ1555" s="4"/>
      <c r="BR1555" s="4"/>
      <c r="BS1555" s="4"/>
      <c r="BT1555" s="4"/>
      <c r="BU1555" s="4"/>
      <c r="BV1555" s="4"/>
      <c r="BW1555" s="4"/>
      <c r="BX1555" s="4"/>
      <c r="BY1555" s="4"/>
      <c r="BZ1555" s="4"/>
      <c r="CA1555" s="4"/>
      <c r="CB1555" s="4"/>
      <c r="CC1555" s="4"/>
      <c r="CD1555" s="4"/>
      <c r="CE1555" s="4"/>
      <c r="CF1555" s="4"/>
      <c r="CG1555" s="4"/>
      <c r="CH1555" s="4"/>
      <c r="CI1555" s="4"/>
      <c r="CJ1555" s="4"/>
      <c r="CK1555" s="4"/>
      <c r="CL1555" s="4"/>
      <c r="CM1555" s="4"/>
      <c r="CN1555" s="4"/>
      <c r="CO1555" s="4"/>
      <c r="CP1555" s="4"/>
      <c r="CQ1555" s="4"/>
      <c r="CR1555" s="4"/>
      <c r="CS1555" s="4"/>
      <c r="CT1555" s="4"/>
      <c r="CU1555" s="4"/>
      <c r="CV1555" s="4"/>
      <c r="CW1555" s="4"/>
      <c r="CX1555" s="4"/>
      <c r="CY1555" s="4"/>
      <c r="CZ1555" s="4"/>
      <c r="DA1555" s="4"/>
      <c r="DB1555" s="4"/>
      <c r="DC1555" s="4"/>
      <c r="DD1555" s="4"/>
      <c r="DE1555" s="4"/>
      <c r="DF1555" s="4"/>
      <c r="DG1555" s="4"/>
      <c r="DH1555" s="4"/>
      <c r="DI1555" s="4"/>
      <c r="DJ1555" s="4"/>
      <c r="DK1555" s="4"/>
      <c r="DL1555" s="4"/>
      <c r="DM1555" s="4"/>
      <c r="DN1555" s="4"/>
      <c r="DO1555" s="4"/>
      <c r="DP1555" s="4"/>
      <c r="DQ1555" s="4"/>
      <c r="DR1555" s="4"/>
    </row>
    <row r="1556" spans="1:122" x14ac:dyDescent="0.25">
      <c r="A1556" s="2" t="s">
        <v>15</v>
      </c>
      <c r="B1556" s="2" t="str">
        <f>"FES1162769326"</f>
        <v>FES1162769326</v>
      </c>
      <c r="C1556" s="2" t="s">
        <v>1084</v>
      </c>
      <c r="D1556" s="2">
        <v>1</v>
      </c>
      <c r="E1556" s="2" t="str">
        <f>"2170755547"</f>
        <v>2170755547</v>
      </c>
      <c r="F1556" s="2" t="s">
        <v>17</v>
      </c>
      <c r="G1556" s="2" t="s">
        <v>18</v>
      </c>
      <c r="H1556" s="2" t="s">
        <v>18</v>
      </c>
      <c r="I1556" s="2" t="s">
        <v>46</v>
      </c>
      <c r="J1556" s="2" t="s">
        <v>139</v>
      </c>
      <c r="K1556" s="2" t="s">
        <v>1190</v>
      </c>
      <c r="L1556" s="3">
        <v>0.2951388888888889</v>
      </c>
      <c r="M1556" s="2" t="s">
        <v>354</v>
      </c>
      <c r="N1556" s="2" t="s">
        <v>500</v>
      </c>
      <c r="O1556" s="2"/>
      <c r="P1556" s="4"/>
      <c r="Q1556" s="4"/>
      <c r="R1556" s="4"/>
      <c r="S1556" s="4"/>
      <c r="T1556" s="4"/>
      <c r="U1556" s="4"/>
      <c r="V1556" s="4"/>
      <c r="W1556" s="4"/>
      <c r="X1556" s="4"/>
      <c r="Y1556" s="4"/>
      <c r="Z1556" s="4"/>
      <c r="AA1556" s="4"/>
      <c r="AB1556" s="4"/>
      <c r="AC1556" s="4"/>
      <c r="AD1556" s="4"/>
      <c r="AE1556" s="4"/>
      <c r="AF1556" s="4"/>
      <c r="AG1556" s="4"/>
      <c r="AH1556" s="4"/>
      <c r="AI1556" s="4"/>
      <c r="AJ1556" s="4"/>
      <c r="AK1556" s="4"/>
      <c r="AL1556" s="4"/>
      <c r="AM1556" s="4"/>
      <c r="AN1556" s="4"/>
      <c r="AO1556" s="4"/>
      <c r="AP1556" s="4"/>
      <c r="AQ1556" s="4"/>
      <c r="AR1556" s="4"/>
      <c r="AS1556" s="4"/>
      <c r="AT1556" s="4"/>
      <c r="AU1556" s="4"/>
      <c r="AV1556" s="4"/>
      <c r="AW1556" s="4"/>
      <c r="AX1556" s="4"/>
      <c r="AY1556" s="4"/>
      <c r="AZ1556" s="4"/>
      <c r="BA1556" s="4"/>
      <c r="BB1556" s="4"/>
      <c r="BC1556" s="4"/>
      <c r="BD1556" s="4"/>
      <c r="BE1556" s="4"/>
      <c r="BF1556" s="4"/>
      <c r="BG1556" s="4"/>
      <c r="BH1556" s="4"/>
      <c r="BI1556" s="4"/>
      <c r="BJ1556" s="4"/>
      <c r="BK1556" s="4"/>
      <c r="BL1556" s="4"/>
      <c r="BM1556" s="4"/>
      <c r="BN1556" s="4"/>
      <c r="BO1556" s="4"/>
      <c r="BP1556" s="4"/>
      <c r="BQ1556" s="4"/>
      <c r="BR1556" s="4"/>
      <c r="BS1556" s="4"/>
      <c r="BT1556" s="4"/>
      <c r="BU1556" s="4"/>
      <c r="BV1556" s="4"/>
      <c r="BW1556" s="4"/>
      <c r="BX1556" s="4"/>
      <c r="BY1556" s="4"/>
      <c r="BZ1556" s="4"/>
      <c r="CA1556" s="4"/>
      <c r="CB1556" s="4"/>
      <c r="CC1556" s="4"/>
      <c r="CD1556" s="4"/>
      <c r="CE1556" s="4"/>
      <c r="CF1556" s="4"/>
      <c r="CG1556" s="4"/>
      <c r="CH1556" s="4"/>
      <c r="CI1556" s="4"/>
      <c r="CJ1556" s="4"/>
      <c r="CK1556" s="4"/>
      <c r="CL1556" s="4"/>
      <c r="CM1556" s="4"/>
      <c r="CN1556" s="4"/>
      <c r="CO1556" s="4"/>
      <c r="CP1556" s="4"/>
      <c r="CQ1556" s="4"/>
      <c r="CR1556" s="4"/>
      <c r="CS1556" s="4"/>
      <c r="CT1556" s="4"/>
      <c r="CU1556" s="4"/>
      <c r="CV1556" s="4"/>
      <c r="CW1556" s="4"/>
      <c r="CX1556" s="4"/>
      <c r="CY1556" s="4"/>
      <c r="CZ1556" s="4"/>
      <c r="DA1556" s="4"/>
      <c r="DB1556" s="4"/>
      <c r="DC1556" s="4"/>
      <c r="DD1556" s="4"/>
      <c r="DE1556" s="4"/>
      <c r="DF1556" s="4"/>
      <c r="DG1556" s="4"/>
      <c r="DH1556" s="4"/>
      <c r="DI1556" s="4"/>
      <c r="DJ1556" s="4"/>
      <c r="DK1556" s="4"/>
      <c r="DL1556" s="4"/>
      <c r="DM1556" s="4"/>
      <c r="DN1556" s="4"/>
      <c r="DO1556" s="4"/>
      <c r="DP1556" s="4"/>
      <c r="DQ1556" s="4"/>
      <c r="DR1556" s="4"/>
    </row>
    <row r="1557" spans="1:122" x14ac:dyDescent="0.25">
      <c r="A1557" s="2" t="s">
        <v>15</v>
      </c>
      <c r="B1557" s="2" t="str">
        <f>"FES1162769374"</f>
        <v>FES1162769374</v>
      </c>
      <c r="C1557" s="2" t="s">
        <v>1084</v>
      </c>
      <c r="D1557" s="2">
        <v>1</v>
      </c>
      <c r="E1557" s="2" t="str">
        <f>"2170755717"</f>
        <v>2170755717</v>
      </c>
      <c r="F1557" s="2" t="s">
        <v>17</v>
      </c>
      <c r="G1557" s="2" t="s">
        <v>18</v>
      </c>
      <c r="H1557" s="2" t="s">
        <v>25</v>
      </c>
      <c r="I1557" s="2" t="s">
        <v>26</v>
      </c>
      <c r="J1557" s="2" t="s">
        <v>75</v>
      </c>
      <c r="K1557" s="2" t="s">
        <v>1190</v>
      </c>
      <c r="L1557" s="3">
        <v>0.36388888888888887</v>
      </c>
      <c r="M1557" s="2" t="s">
        <v>677</v>
      </c>
      <c r="N1557" s="2" t="s">
        <v>500</v>
      </c>
      <c r="O1557" s="2"/>
      <c r="P1557" s="4"/>
      <c r="Q1557" s="4"/>
      <c r="R1557" s="4"/>
      <c r="S1557" s="4"/>
      <c r="T1557" s="4"/>
      <c r="U1557" s="4"/>
      <c r="V1557" s="4"/>
      <c r="W1557" s="4"/>
      <c r="X1557" s="4"/>
      <c r="Y1557" s="4"/>
      <c r="Z1557" s="4"/>
      <c r="AA1557" s="4"/>
      <c r="AB1557" s="4"/>
      <c r="AC1557" s="4"/>
      <c r="AD1557" s="4"/>
      <c r="AE1557" s="4"/>
      <c r="AF1557" s="4"/>
      <c r="AG1557" s="4"/>
      <c r="AH1557" s="4"/>
      <c r="AI1557" s="4"/>
      <c r="AJ1557" s="4"/>
      <c r="AK1557" s="4"/>
      <c r="AL1557" s="4"/>
      <c r="AM1557" s="4"/>
      <c r="AN1557" s="4"/>
      <c r="AO1557" s="4"/>
      <c r="AP1557" s="4"/>
      <c r="AQ1557" s="4"/>
      <c r="AR1557" s="4"/>
      <c r="AS1557" s="4"/>
      <c r="AT1557" s="4"/>
      <c r="AU1557" s="4"/>
      <c r="AV1557" s="4"/>
      <c r="AW1557" s="4"/>
      <c r="AX1557" s="4"/>
      <c r="AY1557" s="4"/>
      <c r="AZ1557" s="4"/>
      <c r="BA1557" s="4"/>
      <c r="BB1557" s="4"/>
      <c r="BC1557" s="4"/>
      <c r="BD1557" s="4"/>
      <c r="BE1557" s="4"/>
      <c r="BF1557" s="4"/>
      <c r="BG1557" s="4"/>
      <c r="BH1557" s="4"/>
      <c r="BI1557" s="4"/>
      <c r="BJ1557" s="4"/>
      <c r="BK1557" s="4"/>
      <c r="BL1557" s="4"/>
      <c r="BM1557" s="4"/>
      <c r="BN1557" s="4"/>
      <c r="BO1557" s="4"/>
      <c r="BP1557" s="4"/>
      <c r="BQ1557" s="4"/>
      <c r="BR1557" s="4"/>
      <c r="BS1557" s="4"/>
      <c r="BT1557" s="4"/>
      <c r="BU1557" s="4"/>
      <c r="BV1557" s="4"/>
      <c r="BW1557" s="4"/>
      <c r="BX1557" s="4"/>
      <c r="BY1557" s="4"/>
      <c r="BZ1557" s="4"/>
      <c r="CA1557" s="4"/>
      <c r="CB1557" s="4"/>
      <c r="CC1557" s="4"/>
      <c r="CD1557" s="4"/>
      <c r="CE1557" s="4"/>
      <c r="CF1557" s="4"/>
      <c r="CG1557" s="4"/>
      <c r="CH1557" s="4"/>
      <c r="CI1557" s="4"/>
      <c r="CJ1557" s="4"/>
      <c r="CK1557" s="4"/>
      <c r="CL1557" s="4"/>
      <c r="CM1557" s="4"/>
      <c r="CN1557" s="4"/>
      <c r="CO1557" s="4"/>
      <c r="CP1557" s="4"/>
      <c r="CQ1557" s="4"/>
      <c r="CR1557" s="4"/>
      <c r="CS1557" s="4"/>
      <c r="CT1557" s="4"/>
      <c r="CU1557" s="4"/>
      <c r="CV1557" s="4"/>
      <c r="CW1557" s="4"/>
      <c r="CX1557" s="4"/>
      <c r="CY1557" s="4"/>
      <c r="CZ1557" s="4"/>
      <c r="DA1557" s="4"/>
      <c r="DB1557" s="4"/>
      <c r="DC1557" s="4"/>
      <c r="DD1557" s="4"/>
      <c r="DE1557" s="4"/>
      <c r="DF1557" s="4"/>
      <c r="DG1557" s="4"/>
      <c r="DH1557" s="4"/>
      <c r="DI1557" s="4"/>
      <c r="DJ1557" s="4"/>
      <c r="DK1557" s="4"/>
      <c r="DL1557" s="4"/>
      <c r="DM1557" s="4"/>
      <c r="DN1557" s="4"/>
      <c r="DO1557" s="4"/>
      <c r="DP1557" s="4"/>
      <c r="DQ1557" s="4"/>
      <c r="DR1557" s="4"/>
    </row>
    <row r="1558" spans="1:122" x14ac:dyDescent="0.25">
      <c r="A1558" s="2" t="s">
        <v>15</v>
      </c>
      <c r="B1558" s="2" t="str">
        <f>"FES1162769376"</f>
        <v>FES1162769376</v>
      </c>
      <c r="C1558" s="2" t="s">
        <v>1084</v>
      </c>
      <c r="D1558" s="2">
        <v>1</v>
      </c>
      <c r="E1558" s="2" t="str">
        <f>"2170755841"</f>
        <v>2170755841</v>
      </c>
      <c r="F1558" s="2" t="s">
        <v>17</v>
      </c>
      <c r="G1558" s="2" t="s">
        <v>18</v>
      </c>
      <c r="H1558" s="2" t="s">
        <v>18</v>
      </c>
      <c r="I1558" s="2" t="s">
        <v>46</v>
      </c>
      <c r="J1558" s="2" t="s">
        <v>453</v>
      </c>
      <c r="K1558" s="2" t="s">
        <v>1190</v>
      </c>
      <c r="L1558" s="3">
        <v>0.33333333333333331</v>
      </c>
      <c r="M1558" s="2" t="s">
        <v>1278</v>
      </c>
      <c r="N1558" s="2" t="s">
        <v>500</v>
      </c>
      <c r="O1558" s="2"/>
      <c r="P1558" s="4"/>
      <c r="Q1558" s="4"/>
      <c r="R1558" s="4"/>
      <c r="S1558" s="4"/>
      <c r="T1558" s="4"/>
      <c r="U1558" s="4"/>
      <c r="V1558" s="4"/>
      <c r="W1558" s="4"/>
      <c r="X1558" s="4"/>
      <c r="Y1558" s="4"/>
      <c r="Z1558" s="4"/>
      <c r="AA1558" s="4"/>
      <c r="AB1558" s="4"/>
      <c r="AC1558" s="4"/>
      <c r="AD1558" s="4"/>
      <c r="AE1558" s="4"/>
      <c r="AF1558" s="4"/>
      <c r="AG1558" s="4"/>
      <c r="AH1558" s="4"/>
      <c r="AI1558" s="4"/>
      <c r="AJ1558" s="4"/>
      <c r="AK1558" s="4"/>
      <c r="AL1558" s="4"/>
      <c r="AM1558" s="4"/>
      <c r="AN1558" s="4"/>
      <c r="AO1558" s="4"/>
      <c r="AP1558" s="4"/>
      <c r="AQ1558" s="4"/>
      <c r="AR1558" s="4"/>
      <c r="AS1558" s="4"/>
      <c r="AT1558" s="4"/>
      <c r="AU1558" s="4"/>
      <c r="AV1558" s="4"/>
      <c r="AW1558" s="4"/>
      <c r="AX1558" s="4"/>
      <c r="AY1558" s="4"/>
      <c r="AZ1558" s="4"/>
      <c r="BA1558" s="4"/>
      <c r="BB1558" s="4"/>
      <c r="BC1558" s="4"/>
      <c r="BD1558" s="4"/>
      <c r="BE1558" s="4"/>
      <c r="BF1558" s="4"/>
      <c r="BG1558" s="4"/>
      <c r="BH1558" s="4"/>
      <c r="BI1558" s="4"/>
      <c r="BJ1558" s="4"/>
      <c r="BK1558" s="4"/>
      <c r="BL1558" s="4"/>
      <c r="BM1558" s="4"/>
      <c r="BN1558" s="4"/>
      <c r="BO1558" s="4"/>
      <c r="BP1558" s="4"/>
      <c r="BQ1558" s="4"/>
      <c r="BR1558" s="4"/>
      <c r="BS1558" s="4"/>
      <c r="BT1558" s="4"/>
      <c r="BU1558" s="4"/>
      <c r="BV1558" s="4"/>
      <c r="BW1558" s="4"/>
      <c r="BX1558" s="4"/>
      <c r="BY1558" s="4"/>
      <c r="BZ1558" s="4"/>
      <c r="CA1558" s="4"/>
      <c r="CB1558" s="4"/>
      <c r="CC1558" s="4"/>
      <c r="CD1558" s="4"/>
      <c r="CE1558" s="4"/>
      <c r="CF1558" s="4"/>
      <c r="CG1558" s="4"/>
      <c r="CH1558" s="4"/>
      <c r="CI1558" s="4"/>
      <c r="CJ1558" s="4"/>
      <c r="CK1558" s="4"/>
      <c r="CL1558" s="4"/>
      <c r="CM1558" s="4"/>
      <c r="CN1558" s="4"/>
      <c r="CO1558" s="4"/>
      <c r="CP1558" s="4"/>
      <c r="CQ1558" s="4"/>
      <c r="CR1558" s="4"/>
      <c r="CS1558" s="4"/>
      <c r="CT1558" s="4"/>
      <c r="CU1558" s="4"/>
      <c r="CV1558" s="4"/>
      <c r="CW1558" s="4"/>
      <c r="CX1558" s="4"/>
      <c r="CY1558" s="4"/>
      <c r="CZ1558" s="4"/>
      <c r="DA1558" s="4"/>
      <c r="DB1558" s="4"/>
      <c r="DC1558" s="4"/>
      <c r="DD1558" s="4"/>
      <c r="DE1558" s="4"/>
      <c r="DF1558" s="4"/>
      <c r="DG1558" s="4"/>
      <c r="DH1558" s="4"/>
      <c r="DI1558" s="4"/>
      <c r="DJ1558" s="4"/>
      <c r="DK1558" s="4"/>
      <c r="DL1558" s="4"/>
      <c r="DM1558" s="4"/>
      <c r="DN1558" s="4"/>
      <c r="DO1558" s="4"/>
      <c r="DP1558" s="4"/>
      <c r="DQ1558" s="4"/>
      <c r="DR1558" s="4"/>
    </row>
    <row r="1559" spans="1:122" x14ac:dyDescent="0.25">
      <c r="A1559" s="2" t="s">
        <v>15</v>
      </c>
      <c r="B1559" s="2" t="str">
        <f>"FES1162769316"</f>
        <v>FES1162769316</v>
      </c>
      <c r="C1559" s="2" t="s">
        <v>1084</v>
      </c>
      <c r="D1559" s="2">
        <v>1</v>
      </c>
      <c r="E1559" s="2" t="str">
        <f>"2170754768"</f>
        <v>2170754768</v>
      </c>
      <c r="F1559" s="2" t="s">
        <v>17</v>
      </c>
      <c r="G1559" s="2" t="s">
        <v>18</v>
      </c>
      <c r="H1559" s="2" t="s">
        <v>18</v>
      </c>
      <c r="I1559" s="2" t="s">
        <v>46</v>
      </c>
      <c r="J1559" s="2" t="s">
        <v>1233</v>
      </c>
      <c r="K1559" s="2" t="s">
        <v>1190</v>
      </c>
      <c r="L1559" s="3">
        <v>0.375</v>
      </c>
      <c r="M1559" s="2" t="s">
        <v>1279</v>
      </c>
      <c r="N1559" s="2" t="s">
        <v>500</v>
      </c>
      <c r="O1559" s="2"/>
      <c r="P1559" s="4"/>
      <c r="Q1559" s="4"/>
      <c r="R1559" s="4"/>
      <c r="S1559" s="4"/>
      <c r="T1559" s="4"/>
      <c r="U1559" s="4"/>
      <c r="V1559" s="4"/>
      <c r="W1559" s="4"/>
      <c r="X1559" s="4"/>
      <c r="Y1559" s="4"/>
      <c r="Z1559" s="4"/>
      <c r="AA1559" s="4"/>
      <c r="AB1559" s="4"/>
      <c r="AC1559" s="4"/>
      <c r="AD1559" s="4"/>
      <c r="AE1559" s="4"/>
      <c r="AF1559" s="4"/>
      <c r="AG1559" s="4"/>
      <c r="AH1559" s="4"/>
      <c r="AI1559" s="4"/>
      <c r="AJ1559" s="4"/>
      <c r="AK1559" s="4"/>
      <c r="AL1559" s="4"/>
      <c r="AM1559" s="4"/>
      <c r="AN1559" s="4"/>
      <c r="AO1559" s="4"/>
      <c r="AP1559" s="4"/>
      <c r="AQ1559" s="4"/>
      <c r="AR1559" s="4"/>
      <c r="AS1559" s="4"/>
      <c r="AT1559" s="4"/>
      <c r="AU1559" s="4"/>
      <c r="AV1559" s="4"/>
      <c r="AW1559" s="4"/>
      <c r="AX1559" s="4"/>
      <c r="AY1559" s="4"/>
      <c r="AZ1559" s="4"/>
      <c r="BA1559" s="4"/>
      <c r="BB1559" s="4"/>
      <c r="BC1559" s="4"/>
      <c r="BD1559" s="4"/>
      <c r="BE1559" s="4"/>
      <c r="BF1559" s="4"/>
      <c r="BG1559" s="4"/>
      <c r="BH1559" s="4"/>
      <c r="BI1559" s="4"/>
      <c r="BJ1559" s="4"/>
      <c r="BK1559" s="4"/>
      <c r="BL1559" s="4"/>
      <c r="BM1559" s="4"/>
      <c r="BN1559" s="4"/>
      <c r="BO1559" s="4"/>
      <c r="BP1559" s="4"/>
      <c r="BQ1559" s="4"/>
      <c r="BR1559" s="4"/>
      <c r="BS1559" s="4"/>
      <c r="BT1559" s="4"/>
      <c r="BU1559" s="4"/>
      <c r="BV1559" s="4"/>
      <c r="BW1559" s="4"/>
      <c r="BX1559" s="4"/>
      <c r="BY1559" s="4"/>
      <c r="BZ1559" s="4"/>
      <c r="CA1559" s="4"/>
      <c r="CB1559" s="4"/>
      <c r="CC1559" s="4"/>
      <c r="CD1559" s="4"/>
      <c r="CE1559" s="4"/>
      <c r="CF1559" s="4"/>
      <c r="CG1559" s="4"/>
      <c r="CH1559" s="4"/>
      <c r="CI1559" s="4"/>
      <c r="CJ1559" s="4"/>
      <c r="CK1559" s="4"/>
      <c r="CL1559" s="4"/>
      <c r="CM1559" s="4"/>
      <c r="CN1559" s="4"/>
      <c r="CO1559" s="4"/>
      <c r="CP1559" s="4"/>
      <c r="CQ1559" s="4"/>
      <c r="CR1559" s="4"/>
      <c r="CS1559" s="4"/>
      <c r="CT1559" s="4"/>
      <c r="CU1559" s="4"/>
      <c r="CV1559" s="4"/>
      <c r="CW1559" s="4"/>
      <c r="CX1559" s="4"/>
      <c r="CY1559" s="4"/>
      <c r="CZ1559" s="4"/>
      <c r="DA1559" s="4"/>
      <c r="DB1559" s="4"/>
      <c r="DC1559" s="4"/>
      <c r="DD1559" s="4"/>
      <c r="DE1559" s="4"/>
      <c r="DF1559" s="4"/>
      <c r="DG1559" s="4"/>
      <c r="DH1559" s="4"/>
      <c r="DI1559" s="4"/>
      <c r="DJ1559" s="4"/>
      <c r="DK1559" s="4"/>
      <c r="DL1559" s="4"/>
      <c r="DM1559" s="4"/>
      <c r="DN1559" s="4"/>
      <c r="DO1559" s="4"/>
      <c r="DP1559" s="4"/>
      <c r="DQ1559" s="4"/>
      <c r="DR1559" s="4"/>
    </row>
    <row r="1560" spans="1:122" x14ac:dyDescent="0.25">
      <c r="A1560" s="2" t="s">
        <v>15</v>
      </c>
      <c r="B1560" s="2" t="str">
        <f>"FES1162769435"</f>
        <v>FES1162769435</v>
      </c>
      <c r="C1560" s="2" t="s">
        <v>1084</v>
      </c>
      <c r="D1560" s="2">
        <v>1</v>
      </c>
      <c r="E1560" s="2" t="str">
        <f>"2170756830"</f>
        <v>2170756830</v>
      </c>
      <c r="F1560" s="2" t="s">
        <v>17</v>
      </c>
      <c r="G1560" s="2" t="s">
        <v>18</v>
      </c>
      <c r="H1560" s="2" t="s">
        <v>18</v>
      </c>
      <c r="I1560" s="2" t="s">
        <v>46</v>
      </c>
      <c r="J1560" s="2" t="s">
        <v>59</v>
      </c>
      <c r="K1560" s="2" t="s">
        <v>1190</v>
      </c>
      <c r="L1560" s="3">
        <v>0.33333333333333331</v>
      </c>
      <c r="M1560" s="2" t="s">
        <v>60</v>
      </c>
      <c r="N1560" s="2" t="s">
        <v>500</v>
      </c>
      <c r="O1560" s="2"/>
      <c r="P1560" s="4"/>
      <c r="Q1560" s="4"/>
      <c r="R1560" s="4"/>
      <c r="S1560" s="4"/>
      <c r="T1560" s="4"/>
      <c r="U1560" s="4"/>
      <c r="V1560" s="4"/>
      <c r="W1560" s="4"/>
      <c r="X1560" s="4"/>
      <c r="Y1560" s="4"/>
      <c r="Z1560" s="4"/>
      <c r="AA1560" s="4"/>
      <c r="AB1560" s="4"/>
      <c r="AC1560" s="4"/>
      <c r="AD1560" s="4"/>
      <c r="AE1560" s="4"/>
      <c r="AF1560" s="4"/>
      <c r="AG1560" s="4"/>
      <c r="AH1560" s="4"/>
      <c r="AI1560" s="4"/>
      <c r="AJ1560" s="4"/>
      <c r="AK1560" s="4"/>
      <c r="AL1560" s="4"/>
      <c r="AM1560" s="4"/>
      <c r="AN1560" s="4"/>
      <c r="AO1560" s="4"/>
      <c r="AP1560" s="4"/>
      <c r="AQ1560" s="4"/>
      <c r="AR1560" s="4"/>
      <c r="AS1560" s="4"/>
      <c r="AT1560" s="4"/>
      <c r="AU1560" s="4"/>
      <c r="AV1560" s="4"/>
      <c r="AW1560" s="4"/>
      <c r="AX1560" s="4"/>
      <c r="AY1560" s="4"/>
      <c r="AZ1560" s="4"/>
      <c r="BA1560" s="4"/>
      <c r="BB1560" s="4"/>
      <c r="BC1560" s="4"/>
      <c r="BD1560" s="4"/>
      <c r="BE1560" s="4"/>
      <c r="BF1560" s="4"/>
      <c r="BG1560" s="4"/>
      <c r="BH1560" s="4"/>
      <c r="BI1560" s="4"/>
      <c r="BJ1560" s="4"/>
      <c r="BK1560" s="4"/>
      <c r="BL1560" s="4"/>
      <c r="BM1560" s="4"/>
      <c r="BN1560" s="4"/>
      <c r="BO1560" s="4"/>
      <c r="BP1560" s="4"/>
      <c r="BQ1560" s="4"/>
      <c r="BR1560" s="4"/>
      <c r="BS1560" s="4"/>
      <c r="BT1560" s="4"/>
      <c r="BU1560" s="4"/>
      <c r="BV1560" s="4"/>
      <c r="BW1560" s="4"/>
      <c r="BX1560" s="4"/>
      <c r="BY1560" s="4"/>
      <c r="BZ1560" s="4"/>
      <c r="CA1560" s="4"/>
      <c r="CB1560" s="4"/>
      <c r="CC1560" s="4"/>
      <c r="CD1560" s="4"/>
      <c r="CE1560" s="4"/>
      <c r="CF1560" s="4"/>
      <c r="CG1560" s="4"/>
      <c r="CH1560" s="4"/>
      <c r="CI1560" s="4"/>
      <c r="CJ1560" s="4"/>
      <c r="CK1560" s="4"/>
      <c r="CL1560" s="4"/>
      <c r="CM1560" s="4"/>
      <c r="CN1560" s="4"/>
      <c r="CO1560" s="4"/>
      <c r="CP1560" s="4"/>
      <c r="CQ1560" s="4"/>
      <c r="CR1560" s="4"/>
      <c r="CS1560" s="4"/>
      <c r="CT1560" s="4"/>
      <c r="CU1560" s="4"/>
      <c r="CV1560" s="4"/>
      <c r="CW1560" s="4"/>
      <c r="CX1560" s="4"/>
      <c r="CY1560" s="4"/>
      <c r="CZ1560" s="4"/>
      <c r="DA1560" s="4"/>
      <c r="DB1560" s="4"/>
      <c r="DC1560" s="4"/>
      <c r="DD1560" s="4"/>
      <c r="DE1560" s="4"/>
      <c r="DF1560" s="4"/>
      <c r="DG1560" s="4"/>
      <c r="DH1560" s="4"/>
      <c r="DI1560" s="4"/>
      <c r="DJ1560" s="4"/>
      <c r="DK1560" s="4"/>
      <c r="DL1560" s="4"/>
      <c r="DM1560" s="4"/>
      <c r="DN1560" s="4"/>
      <c r="DO1560" s="4"/>
      <c r="DP1560" s="4"/>
      <c r="DQ1560" s="4"/>
      <c r="DR1560" s="4"/>
    </row>
    <row r="1561" spans="1:122" x14ac:dyDescent="0.25">
      <c r="A1561" s="2" t="s">
        <v>15</v>
      </c>
      <c r="B1561" s="2" t="str">
        <f>"FES1162769430"</f>
        <v>FES1162769430</v>
      </c>
      <c r="C1561" s="2" t="s">
        <v>1084</v>
      </c>
      <c r="D1561" s="2">
        <v>1</v>
      </c>
      <c r="E1561" s="2" t="str">
        <f>"2170756893"</f>
        <v>2170756893</v>
      </c>
      <c r="F1561" s="2" t="s">
        <v>17</v>
      </c>
      <c r="G1561" s="2" t="s">
        <v>18</v>
      </c>
      <c r="H1561" s="2" t="s">
        <v>25</v>
      </c>
      <c r="I1561" s="2" t="s">
        <v>42</v>
      </c>
      <c r="J1561" s="2" t="s">
        <v>1234</v>
      </c>
      <c r="K1561" s="2" t="s">
        <v>1190</v>
      </c>
      <c r="L1561" s="3">
        <v>0.49236111111111108</v>
      </c>
      <c r="M1561" s="2" t="s">
        <v>1280</v>
      </c>
      <c r="N1561" s="2" t="s">
        <v>500</v>
      </c>
      <c r="O1561" s="2"/>
      <c r="P1561" s="4"/>
      <c r="Q1561" s="4"/>
      <c r="R1561" s="4"/>
      <c r="S1561" s="4"/>
      <c r="T1561" s="4"/>
      <c r="U1561" s="4"/>
      <c r="V1561" s="4"/>
      <c r="W1561" s="4"/>
      <c r="X1561" s="4"/>
      <c r="Y1561" s="4"/>
      <c r="Z1561" s="4"/>
      <c r="AA1561" s="4"/>
      <c r="AB1561" s="4"/>
      <c r="AC1561" s="4"/>
      <c r="AD1561" s="4"/>
      <c r="AE1561" s="4"/>
      <c r="AF1561" s="4"/>
      <c r="AG1561" s="4"/>
      <c r="AH1561" s="4"/>
      <c r="AI1561" s="4"/>
      <c r="AJ1561" s="4"/>
      <c r="AK1561" s="4"/>
      <c r="AL1561" s="4"/>
      <c r="AM1561" s="4"/>
      <c r="AN1561" s="4"/>
      <c r="AO1561" s="4"/>
      <c r="AP1561" s="4"/>
      <c r="AQ1561" s="4"/>
      <c r="AR1561" s="4"/>
      <c r="AS1561" s="4"/>
      <c r="AT1561" s="4"/>
      <c r="AU1561" s="4"/>
      <c r="AV1561" s="4"/>
      <c r="AW1561" s="4"/>
      <c r="AX1561" s="4"/>
      <c r="AY1561" s="4"/>
      <c r="AZ1561" s="4"/>
      <c r="BA1561" s="4"/>
      <c r="BB1561" s="4"/>
      <c r="BC1561" s="4"/>
      <c r="BD1561" s="4"/>
      <c r="BE1561" s="4"/>
      <c r="BF1561" s="4"/>
      <c r="BG1561" s="4"/>
      <c r="BH1561" s="4"/>
      <c r="BI1561" s="4"/>
      <c r="BJ1561" s="4"/>
      <c r="BK1561" s="4"/>
      <c r="BL1561" s="4"/>
      <c r="BM1561" s="4"/>
      <c r="BN1561" s="4"/>
      <c r="BO1561" s="4"/>
      <c r="BP1561" s="4"/>
      <c r="BQ1561" s="4"/>
      <c r="BR1561" s="4"/>
      <c r="BS1561" s="4"/>
      <c r="BT1561" s="4"/>
      <c r="BU1561" s="4"/>
      <c r="BV1561" s="4"/>
      <c r="BW1561" s="4"/>
      <c r="BX1561" s="4"/>
      <c r="BY1561" s="4"/>
      <c r="BZ1561" s="4"/>
      <c r="CA1561" s="4"/>
      <c r="CB1561" s="4"/>
      <c r="CC1561" s="4"/>
      <c r="CD1561" s="4"/>
      <c r="CE1561" s="4"/>
      <c r="CF1561" s="4"/>
      <c r="CG1561" s="4"/>
      <c r="CH1561" s="4"/>
      <c r="CI1561" s="4"/>
      <c r="CJ1561" s="4"/>
      <c r="CK1561" s="4"/>
      <c r="CL1561" s="4"/>
      <c r="CM1561" s="4"/>
      <c r="CN1561" s="4"/>
      <c r="CO1561" s="4"/>
      <c r="CP1561" s="4"/>
      <c r="CQ1561" s="4"/>
      <c r="CR1561" s="4"/>
      <c r="CS1561" s="4"/>
      <c r="CT1561" s="4"/>
      <c r="CU1561" s="4"/>
      <c r="CV1561" s="4"/>
      <c r="CW1561" s="4"/>
      <c r="CX1561" s="4"/>
      <c r="CY1561" s="4"/>
      <c r="CZ1561" s="4"/>
      <c r="DA1561" s="4"/>
      <c r="DB1561" s="4"/>
      <c r="DC1561" s="4"/>
      <c r="DD1561" s="4"/>
      <c r="DE1561" s="4"/>
      <c r="DF1561" s="4"/>
      <c r="DG1561" s="4"/>
      <c r="DH1561" s="4"/>
      <c r="DI1561" s="4"/>
      <c r="DJ1561" s="4"/>
      <c r="DK1561" s="4"/>
      <c r="DL1561" s="4"/>
      <c r="DM1561" s="4"/>
      <c r="DN1561" s="4"/>
      <c r="DO1561" s="4"/>
      <c r="DP1561" s="4"/>
      <c r="DQ1561" s="4"/>
      <c r="DR1561" s="4"/>
    </row>
    <row r="1562" spans="1:122" x14ac:dyDescent="0.25">
      <c r="A1562" s="2" t="s">
        <v>15</v>
      </c>
      <c r="B1562" s="2" t="str">
        <f>"FES1162769429"</f>
        <v>FES1162769429</v>
      </c>
      <c r="C1562" s="2" t="s">
        <v>1084</v>
      </c>
      <c r="D1562" s="2">
        <v>1</v>
      </c>
      <c r="E1562" s="2" t="str">
        <f>"2170756898"</f>
        <v>2170756898</v>
      </c>
      <c r="F1562" s="2" t="s">
        <v>17</v>
      </c>
      <c r="G1562" s="2" t="s">
        <v>18</v>
      </c>
      <c r="H1562" s="2" t="s">
        <v>25</v>
      </c>
      <c r="I1562" s="2" t="s">
        <v>125</v>
      </c>
      <c r="J1562" s="2" t="s">
        <v>126</v>
      </c>
      <c r="K1562" s="2" t="s">
        <v>1190</v>
      </c>
      <c r="L1562" s="3">
        <v>0.47152777777777777</v>
      </c>
      <c r="M1562" s="2" t="s">
        <v>1189</v>
      </c>
      <c r="N1562" s="2" t="s">
        <v>500</v>
      </c>
      <c r="O1562" s="2"/>
      <c r="P1562" s="4"/>
      <c r="Q1562" s="4"/>
      <c r="R1562" s="4"/>
      <c r="S1562" s="4"/>
      <c r="T1562" s="4"/>
      <c r="U1562" s="4"/>
      <c r="V1562" s="4"/>
      <c r="W1562" s="4"/>
      <c r="X1562" s="4"/>
      <c r="Y1562" s="4"/>
      <c r="Z1562" s="4"/>
      <c r="AA1562" s="4"/>
      <c r="AB1562" s="4"/>
      <c r="AC1562" s="4"/>
      <c r="AD1562" s="4"/>
      <c r="AE1562" s="4"/>
      <c r="AF1562" s="4"/>
      <c r="AG1562" s="4"/>
      <c r="AH1562" s="4"/>
      <c r="AI1562" s="4"/>
      <c r="AJ1562" s="4"/>
      <c r="AK1562" s="4"/>
      <c r="AL1562" s="4"/>
      <c r="AM1562" s="4"/>
      <c r="AN1562" s="4"/>
      <c r="AO1562" s="4"/>
      <c r="AP1562" s="4"/>
      <c r="AQ1562" s="4"/>
      <c r="AR1562" s="4"/>
      <c r="AS1562" s="4"/>
      <c r="AT1562" s="4"/>
      <c r="AU1562" s="4"/>
      <c r="AV1562" s="4"/>
      <c r="AW1562" s="4"/>
      <c r="AX1562" s="4"/>
      <c r="AY1562" s="4"/>
      <c r="AZ1562" s="4"/>
      <c r="BA1562" s="4"/>
      <c r="BB1562" s="4"/>
      <c r="BC1562" s="4"/>
      <c r="BD1562" s="4"/>
      <c r="BE1562" s="4"/>
      <c r="BF1562" s="4"/>
      <c r="BG1562" s="4"/>
      <c r="BH1562" s="4"/>
      <c r="BI1562" s="4"/>
      <c r="BJ1562" s="4"/>
      <c r="BK1562" s="4"/>
      <c r="BL1562" s="4"/>
      <c r="BM1562" s="4"/>
      <c r="BN1562" s="4"/>
      <c r="BO1562" s="4"/>
      <c r="BP1562" s="4"/>
      <c r="BQ1562" s="4"/>
      <c r="BR1562" s="4"/>
      <c r="BS1562" s="4"/>
      <c r="BT1562" s="4"/>
      <c r="BU1562" s="4"/>
      <c r="BV1562" s="4"/>
      <c r="BW1562" s="4"/>
      <c r="BX1562" s="4"/>
      <c r="BY1562" s="4"/>
      <c r="BZ1562" s="4"/>
      <c r="CA1562" s="4"/>
      <c r="CB1562" s="4"/>
      <c r="CC1562" s="4"/>
      <c r="CD1562" s="4"/>
      <c r="CE1562" s="4"/>
      <c r="CF1562" s="4"/>
      <c r="CG1562" s="4"/>
      <c r="CH1562" s="4"/>
      <c r="CI1562" s="4"/>
      <c r="CJ1562" s="4"/>
      <c r="CK1562" s="4"/>
      <c r="CL1562" s="4"/>
      <c r="CM1562" s="4"/>
      <c r="CN1562" s="4"/>
      <c r="CO1562" s="4"/>
      <c r="CP1562" s="4"/>
      <c r="CQ1562" s="4"/>
      <c r="CR1562" s="4"/>
      <c r="CS1562" s="4"/>
      <c r="CT1562" s="4"/>
      <c r="CU1562" s="4"/>
      <c r="CV1562" s="4"/>
      <c r="CW1562" s="4"/>
      <c r="CX1562" s="4"/>
      <c r="CY1562" s="4"/>
      <c r="CZ1562" s="4"/>
      <c r="DA1562" s="4"/>
      <c r="DB1562" s="4"/>
      <c r="DC1562" s="4"/>
      <c r="DD1562" s="4"/>
      <c r="DE1562" s="4"/>
      <c r="DF1562" s="4"/>
      <c r="DG1562" s="4"/>
      <c r="DH1562" s="4"/>
      <c r="DI1562" s="4"/>
      <c r="DJ1562" s="4"/>
      <c r="DK1562" s="4"/>
      <c r="DL1562" s="4"/>
      <c r="DM1562" s="4"/>
      <c r="DN1562" s="4"/>
      <c r="DO1562" s="4"/>
      <c r="DP1562" s="4"/>
      <c r="DQ1562" s="4"/>
      <c r="DR1562" s="4"/>
    </row>
    <row r="1563" spans="1:122" x14ac:dyDescent="0.25">
      <c r="A1563" s="2" t="s">
        <v>15</v>
      </c>
      <c r="B1563" s="2" t="str">
        <f>"FES1162769203"</f>
        <v>FES1162769203</v>
      </c>
      <c r="C1563" s="2" t="s">
        <v>1084</v>
      </c>
      <c r="D1563" s="2">
        <v>1</v>
      </c>
      <c r="E1563" s="2" t="str">
        <f>"2170756475"</f>
        <v>2170756475</v>
      </c>
      <c r="F1563" s="2" t="s">
        <v>17</v>
      </c>
      <c r="G1563" s="2" t="s">
        <v>18</v>
      </c>
      <c r="H1563" s="2" t="s">
        <v>36</v>
      </c>
      <c r="I1563" s="2" t="s">
        <v>37</v>
      </c>
      <c r="J1563" s="2" t="s">
        <v>499</v>
      </c>
      <c r="K1563" s="2" t="s">
        <v>1190</v>
      </c>
      <c r="L1563" s="3">
        <v>0.4236111111111111</v>
      </c>
      <c r="M1563" s="2" t="s">
        <v>1281</v>
      </c>
      <c r="N1563" s="2" t="s">
        <v>500</v>
      </c>
      <c r="O1563" s="2"/>
      <c r="P1563" s="4"/>
      <c r="Q1563" s="4"/>
      <c r="R1563" s="4"/>
      <c r="S1563" s="4"/>
      <c r="T1563" s="4"/>
      <c r="U1563" s="4"/>
      <c r="V1563" s="4"/>
      <c r="W1563" s="4"/>
      <c r="X1563" s="4"/>
      <c r="Y1563" s="4"/>
      <c r="Z1563" s="4"/>
      <c r="AA1563" s="4"/>
      <c r="AB1563" s="4"/>
      <c r="AC1563" s="4"/>
      <c r="AD1563" s="4"/>
      <c r="AE1563" s="4"/>
      <c r="AF1563" s="4"/>
      <c r="AG1563" s="4"/>
      <c r="AH1563" s="4"/>
      <c r="AI1563" s="4"/>
      <c r="AJ1563" s="4"/>
      <c r="AK1563" s="4"/>
      <c r="AL1563" s="4"/>
      <c r="AM1563" s="4"/>
      <c r="AN1563" s="4"/>
      <c r="AO1563" s="4"/>
      <c r="AP1563" s="4"/>
      <c r="AQ1563" s="4"/>
      <c r="AR1563" s="4"/>
      <c r="AS1563" s="4"/>
      <c r="AT1563" s="4"/>
      <c r="AU1563" s="4"/>
      <c r="AV1563" s="4"/>
      <c r="AW1563" s="4"/>
      <c r="AX1563" s="4"/>
      <c r="AY1563" s="4"/>
      <c r="AZ1563" s="4"/>
      <c r="BA1563" s="4"/>
      <c r="BB1563" s="4"/>
      <c r="BC1563" s="4"/>
      <c r="BD1563" s="4"/>
      <c r="BE1563" s="4"/>
      <c r="BF1563" s="4"/>
      <c r="BG1563" s="4"/>
      <c r="BH1563" s="4"/>
      <c r="BI1563" s="4"/>
      <c r="BJ1563" s="4"/>
      <c r="BK1563" s="4"/>
      <c r="BL1563" s="4"/>
      <c r="BM1563" s="4"/>
      <c r="BN1563" s="4"/>
      <c r="BO1563" s="4"/>
      <c r="BP1563" s="4"/>
      <c r="BQ1563" s="4"/>
      <c r="BR1563" s="4"/>
      <c r="BS1563" s="4"/>
      <c r="BT1563" s="4"/>
      <c r="BU1563" s="4"/>
      <c r="BV1563" s="4"/>
      <c r="BW1563" s="4"/>
      <c r="BX1563" s="4"/>
      <c r="BY1563" s="4"/>
      <c r="BZ1563" s="4"/>
      <c r="CA1563" s="4"/>
      <c r="CB1563" s="4"/>
      <c r="CC1563" s="4"/>
      <c r="CD1563" s="4"/>
      <c r="CE1563" s="4"/>
      <c r="CF1563" s="4"/>
      <c r="CG1563" s="4"/>
      <c r="CH1563" s="4"/>
      <c r="CI1563" s="4"/>
      <c r="CJ1563" s="4"/>
      <c r="CK1563" s="4"/>
      <c r="CL1563" s="4"/>
      <c r="CM1563" s="4"/>
      <c r="CN1563" s="4"/>
      <c r="CO1563" s="4"/>
      <c r="CP1563" s="4"/>
      <c r="CQ1563" s="4"/>
      <c r="CR1563" s="4"/>
      <c r="CS1563" s="4"/>
      <c r="CT1563" s="4"/>
      <c r="CU1563" s="4"/>
      <c r="CV1563" s="4"/>
      <c r="CW1563" s="4"/>
      <c r="CX1563" s="4"/>
      <c r="CY1563" s="4"/>
      <c r="CZ1563" s="4"/>
      <c r="DA1563" s="4"/>
      <c r="DB1563" s="4"/>
      <c r="DC1563" s="4"/>
      <c r="DD1563" s="4"/>
      <c r="DE1563" s="4"/>
      <c r="DF1563" s="4"/>
      <c r="DG1563" s="4"/>
      <c r="DH1563" s="4"/>
      <c r="DI1563" s="4"/>
      <c r="DJ1563" s="4"/>
      <c r="DK1563" s="4"/>
      <c r="DL1563" s="4"/>
      <c r="DM1563" s="4"/>
      <c r="DN1563" s="4"/>
      <c r="DO1563" s="4"/>
      <c r="DP1563" s="4"/>
      <c r="DQ1563" s="4"/>
      <c r="DR1563" s="4"/>
    </row>
    <row r="1564" spans="1:122" x14ac:dyDescent="0.25">
      <c r="A1564" s="2" t="s">
        <v>15</v>
      </c>
      <c r="B1564" s="2" t="str">
        <f>"FES1162769162"</f>
        <v>FES1162769162</v>
      </c>
      <c r="C1564" s="2" t="s">
        <v>1084</v>
      </c>
      <c r="D1564" s="2">
        <v>1</v>
      </c>
      <c r="E1564" s="2" t="str">
        <f>"2170755348"</f>
        <v>2170755348</v>
      </c>
      <c r="F1564" s="2" t="s">
        <v>17</v>
      </c>
      <c r="G1564" s="2" t="s">
        <v>18</v>
      </c>
      <c r="H1564" s="2" t="s">
        <v>36</v>
      </c>
      <c r="I1564" s="2" t="s">
        <v>37</v>
      </c>
      <c r="J1564" s="2" t="s">
        <v>272</v>
      </c>
      <c r="K1564" s="2" t="s">
        <v>1190</v>
      </c>
      <c r="L1564" s="3">
        <v>0.38680555555555557</v>
      </c>
      <c r="M1564" s="2" t="s">
        <v>538</v>
      </c>
      <c r="N1564" s="2" t="s">
        <v>500</v>
      </c>
      <c r="O1564" s="2"/>
      <c r="P1564" s="4"/>
      <c r="Q1564" s="4"/>
      <c r="R1564" s="4"/>
      <c r="S1564" s="4"/>
      <c r="T1564" s="4"/>
      <c r="U1564" s="4"/>
      <c r="V1564" s="4"/>
      <c r="W1564" s="4"/>
      <c r="X1564" s="4"/>
      <c r="Y1564" s="4"/>
      <c r="Z1564" s="4"/>
      <c r="AA1564" s="4"/>
      <c r="AB1564" s="4"/>
      <c r="AC1564" s="4"/>
      <c r="AD1564" s="4"/>
      <c r="AE1564" s="4"/>
      <c r="AF1564" s="4"/>
      <c r="AG1564" s="4"/>
      <c r="AH1564" s="4"/>
      <c r="AI1564" s="4"/>
      <c r="AJ1564" s="4"/>
      <c r="AK1564" s="4"/>
      <c r="AL1564" s="4"/>
      <c r="AM1564" s="4"/>
      <c r="AN1564" s="4"/>
      <c r="AO1564" s="4"/>
      <c r="AP1564" s="4"/>
      <c r="AQ1564" s="4"/>
      <c r="AR1564" s="4"/>
      <c r="AS1564" s="4"/>
      <c r="AT1564" s="4"/>
      <c r="AU1564" s="4"/>
      <c r="AV1564" s="4"/>
      <c r="AW1564" s="4"/>
      <c r="AX1564" s="4"/>
      <c r="AY1564" s="4"/>
      <c r="AZ1564" s="4"/>
      <c r="BA1564" s="4"/>
      <c r="BB1564" s="4"/>
      <c r="BC1564" s="4"/>
      <c r="BD1564" s="4"/>
      <c r="BE1564" s="4"/>
      <c r="BF1564" s="4"/>
      <c r="BG1564" s="4"/>
      <c r="BH1564" s="4"/>
      <c r="BI1564" s="4"/>
      <c r="BJ1564" s="4"/>
      <c r="BK1564" s="4"/>
      <c r="BL1564" s="4"/>
      <c r="BM1564" s="4"/>
      <c r="BN1564" s="4"/>
      <c r="BO1564" s="4"/>
      <c r="BP1564" s="4"/>
      <c r="BQ1564" s="4"/>
      <c r="BR1564" s="4"/>
      <c r="BS1564" s="4"/>
      <c r="BT1564" s="4"/>
      <c r="BU1564" s="4"/>
      <c r="BV1564" s="4"/>
      <c r="BW1564" s="4"/>
      <c r="BX1564" s="4"/>
      <c r="BY1564" s="4"/>
      <c r="BZ1564" s="4"/>
      <c r="CA1564" s="4"/>
      <c r="CB1564" s="4"/>
      <c r="CC1564" s="4"/>
      <c r="CD1564" s="4"/>
      <c r="CE1564" s="4"/>
      <c r="CF1564" s="4"/>
      <c r="CG1564" s="4"/>
      <c r="CH1564" s="4"/>
      <c r="CI1564" s="4"/>
      <c r="CJ1564" s="4"/>
      <c r="CK1564" s="4"/>
      <c r="CL1564" s="4"/>
      <c r="CM1564" s="4"/>
      <c r="CN1564" s="4"/>
      <c r="CO1564" s="4"/>
      <c r="CP1564" s="4"/>
      <c r="CQ1564" s="4"/>
      <c r="CR1564" s="4"/>
      <c r="CS1564" s="4"/>
      <c r="CT1564" s="4"/>
      <c r="CU1564" s="4"/>
      <c r="CV1564" s="4"/>
      <c r="CW1564" s="4"/>
      <c r="CX1564" s="4"/>
      <c r="CY1564" s="4"/>
      <c r="CZ1564" s="4"/>
      <c r="DA1564" s="4"/>
      <c r="DB1564" s="4"/>
      <c r="DC1564" s="4"/>
      <c r="DD1564" s="4"/>
      <c r="DE1564" s="4"/>
      <c r="DF1564" s="4"/>
      <c r="DG1564" s="4"/>
      <c r="DH1564" s="4"/>
      <c r="DI1564" s="4"/>
      <c r="DJ1564" s="4"/>
      <c r="DK1564" s="4"/>
      <c r="DL1564" s="4"/>
      <c r="DM1564" s="4"/>
      <c r="DN1564" s="4"/>
      <c r="DO1564" s="4"/>
      <c r="DP1564" s="4"/>
      <c r="DQ1564" s="4"/>
      <c r="DR1564" s="4"/>
    </row>
    <row r="1565" spans="1:122" x14ac:dyDescent="0.25">
      <c r="A1565" s="2" t="s">
        <v>15</v>
      </c>
      <c r="B1565" s="2" t="str">
        <f>"FES1162769360"</f>
        <v>FES1162769360</v>
      </c>
      <c r="C1565" s="2" t="s">
        <v>1084</v>
      </c>
      <c r="D1565" s="2">
        <v>1</v>
      </c>
      <c r="E1565" s="2" t="str">
        <f>"2170753183"</f>
        <v>2170753183</v>
      </c>
      <c r="F1565" s="2" t="s">
        <v>17</v>
      </c>
      <c r="G1565" s="2" t="s">
        <v>18</v>
      </c>
      <c r="H1565" s="2" t="s">
        <v>36</v>
      </c>
      <c r="I1565" s="2" t="s">
        <v>37</v>
      </c>
      <c r="J1565" s="2" t="s">
        <v>162</v>
      </c>
      <c r="K1565" s="2" t="s">
        <v>1190</v>
      </c>
      <c r="L1565" s="3">
        <v>0.35000000000000003</v>
      </c>
      <c r="M1565" s="2" t="s">
        <v>268</v>
      </c>
      <c r="N1565" s="2" t="s">
        <v>500</v>
      </c>
      <c r="O1565" s="2"/>
      <c r="P1565" s="4"/>
      <c r="Q1565" s="4"/>
      <c r="R1565" s="4"/>
      <c r="S1565" s="4"/>
      <c r="T1565" s="4"/>
      <c r="U1565" s="4"/>
      <c r="V1565" s="4"/>
      <c r="W1565" s="4"/>
      <c r="X1565" s="4"/>
      <c r="Y1565" s="4"/>
      <c r="Z1565" s="4"/>
      <c r="AA1565" s="4"/>
      <c r="AB1565" s="4"/>
      <c r="AC1565" s="4"/>
      <c r="AD1565" s="4"/>
      <c r="AE1565" s="4"/>
      <c r="AF1565" s="4"/>
      <c r="AG1565" s="4"/>
      <c r="AH1565" s="4"/>
      <c r="AI1565" s="4"/>
      <c r="AJ1565" s="4"/>
      <c r="AK1565" s="4"/>
      <c r="AL1565" s="4"/>
      <c r="AM1565" s="4"/>
      <c r="AN1565" s="4"/>
      <c r="AO1565" s="4"/>
      <c r="AP1565" s="4"/>
      <c r="AQ1565" s="4"/>
      <c r="AR1565" s="4"/>
      <c r="AS1565" s="4"/>
      <c r="AT1565" s="4"/>
      <c r="AU1565" s="4"/>
      <c r="AV1565" s="4"/>
      <c r="AW1565" s="4"/>
      <c r="AX1565" s="4"/>
      <c r="AY1565" s="4"/>
      <c r="AZ1565" s="4"/>
      <c r="BA1565" s="4"/>
      <c r="BB1565" s="4"/>
      <c r="BC1565" s="4"/>
      <c r="BD1565" s="4"/>
      <c r="BE1565" s="4"/>
      <c r="BF1565" s="4"/>
      <c r="BG1565" s="4"/>
      <c r="BH1565" s="4"/>
      <c r="BI1565" s="4"/>
      <c r="BJ1565" s="4"/>
      <c r="BK1565" s="4"/>
      <c r="BL1565" s="4"/>
      <c r="BM1565" s="4"/>
      <c r="BN1565" s="4"/>
      <c r="BO1565" s="4"/>
      <c r="BP1565" s="4"/>
      <c r="BQ1565" s="4"/>
      <c r="BR1565" s="4"/>
      <c r="BS1565" s="4"/>
      <c r="BT1565" s="4"/>
      <c r="BU1565" s="4"/>
      <c r="BV1565" s="4"/>
      <c r="BW1565" s="4"/>
      <c r="BX1565" s="4"/>
      <c r="BY1565" s="4"/>
      <c r="BZ1565" s="4"/>
      <c r="CA1565" s="4"/>
      <c r="CB1565" s="4"/>
      <c r="CC1565" s="4"/>
      <c r="CD1565" s="4"/>
      <c r="CE1565" s="4"/>
      <c r="CF1565" s="4"/>
      <c r="CG1565" s="4"/>
      <c r="CH1565" s="4"/>
      <c r="CI1565" s="4"/>
      <c r="CJ1565" s="4"/>
      <c r="CK1565" s="4"/>
      <c r="CL1565" s="4"/>
      <c r="CM1565" s="4"/>
      <c r="CN1565" s="4"/>
      <c r="CO1565" s="4"/>
      <c r="CP1565" s="4"/>
      <c r="CQ1565" s="4"/>
      <c r="CR1565" s="4"/>
      <c r="CS1565" s="4"/>
      <c r="CT1565" s="4"/>
      <c r="CU1565" s="4"/>
      <c r="CV1565" s="4"/>
      <c r="CW1565" s="4"/>
      <c r="CX1565" s="4"/>
      <c r="CY1565" s="4"/>
      <c r="CZ1565" s="4"/>
      <c r="DA1565" s="4"/>
      <c r="DB1565" s="4"/>
      <c r="DC1565" s="4"/>
      <c r="DD1565" s="4"/>
      <c r="DE1565" s="4"/>
      <c r="DF1565" s="4"/>
      <c r="DG1565" s="4"/>
      <c r="DH1565" s="4"/>
      <c r="DI1565" s="4"/>
      <c r="DJ1565" s="4"/>
      <c r="DK1565" s="4"/>
      <c r="DL1565" s="4"/>
      <c r="DM1565" s="4"/>
      <c r="DN1565" s="4"/>
      <c r="DO1565" s="4"/>
      <c r="DP1565" s="4"/>
      <c r="DQ1565" s="4"/>
      <c r="DR1565" s="4"/>
    </row>
    <row r="1566" spans="1:122" x14ac:dyDescent="0.25">
      <c r="A1566" s="2" t="s">
        <v>15</v>
      </c>
      <c r="B1566" s="2" t="str">
        <f>"FES1162769436"</f>
        <v>FES1162769436</v>
      </c>
      <c r="C1566" s="2" t="s">
        <v>1084</v>
      </c>
      <c r="D1566" s="2">
        <v>1</v>
      </c>
      <c r="E1566" s="2" t="str">
        <f>"2170756797"</f>
        <v>2170756797</v>
      </c>
      <c r="F1566" s="2" t="s">
        <v>17</v>
      </c>
      <c r="G1566" s="2" t="s">
        <v>18</v>
      </c>
      <c r="H1566" s="2" t="s">
        <v>36</v>
      </c>
      <c r="I1566" s="2" t="s">
        <v>37</v>
      </c>
      <c r="J1566" s="2" t="s">
        <v>477</v>
      </c>
      <c r="K1566" s="2" t="s">
        <v>1190</v>
      </c>
      <c r="L1566" s="3">
        <v>0.36458333333333331</v>
      </c>
      <c r="M1566" s="2" t="s">
        <v>1282</v>
      </c>
      <c r="N1566" s="2" t="s">
        <v>500</v>
      </c>
      <c r="O1566" s="2"/>
      <c r="P1566" s="4"/>
      <c r="Q1566" s="4"/>
      <c r="R1566" s="4"/>
      <c r="S1566" s="4"/>
      <c r="T1566" s="4"/>
      <c r="U1566" s="4"/>
      <c r="V1566" s="4"/>
      <c r="W1566" s="4"/>
      <c r="X1566" s="4"/>
      <c r="Y1566" s="4"/>
      <c r="Z1566" s="4"/>
      <c r="AA1566" s="4"/>
      <c r="AB1566" s="4"/>
      <c r="AC1566" s="4"/>
      <c r="AD1566" s="4"/>
      <c r="AE1566" s="4"/>
      <c r="AF1566" s="4"/>
      <c r="AG1566" s="4"/>
      <c r="AH1566" s="4"/>
      <c r="AI1566" s="4"/>
      <c r="AJ1566" s="4"/>
      <c r="AK1566" s="4"/>
      <c r="AL1566" s="4"/>
      <c r="AM1566" s="4"/>
      <c r="AN1566" s="4"/>
      <c r="AO1566" s="4"/>
      <c r="AP1566" s="4"/>
      <c r="AQ1566" s="4"/>
      <c r="AR1566" s="4"/>
      <c r="AS1566" s="4"/>
      <c r="AT1566" s="4"/>
      <c r="AU1566" s="4"/>
      <c r="AV1566" s="4"/>
      <c r="AW1566" s="4"/>
      <c r="AX1566" s="4"/>
      <c r="AY1566" s="4"/>
      <c r="AZ1566" s="4"/>
      <c r="BA1566" s="4"/>
      <c r="BB1566" s="4"/>
      <c r="BC1566" s="4"/>
      <c r="BD1566" s="4"/>
      <c r="BE1566" s="4"/>
      <c r="BF1566" s="4"/>
      <c r="BG1566" s="4"/>
      <c r="BH1566" s="4"/>
      <c r="BI1566" s="4"/>
      <c r="BJ1566" s="4"/>
      <c r="BK1566" s="4"/>
      <c r="BL1566" s="4"/>
      <c r="BM1566" s="4"/>
      <c r="BN1566" s="4"/>
      <c r="BO1566" s="4"/>
      <c r="BP1566" s="4"/>
      <c r="BQ1566" s="4"/>
      <c r="BR1566" s="4"/>
      <c r="BS1566" s="4"/>
      <c r="BT1566" s="4"/>
      <c r="BU1566" s="4"/>
      <c r="BV1566" s="4"/>
      <c r="BW1566" s="4"/>
      <c r="BX1566" s="4"/>
      <c r="BY1566" s="4"/>
      <c r="BZ1566" s="4"/>
      <c r="CA1566" s="4"/>
      <c r="CB1566" s="4"/>
      <c r="CC1566" s="4"/>
      <c r="CD1566" s="4"/>
      <c r="CE1566" s="4"/>
      <c r="CF1566" s="4"/>
      <c r="CG1566" s="4"/>
      <c r="CH1566" s="4"/>
      <c r="CI1566" s="4"/>
      <c r="CJ1566" s="4"/>
      <c r="CK1566" s="4"/>
      <c r="CL1566" s="4"/>
      <c r="CM1566" s="4"/>
      <c r="CN1566" s="4"/>
      <c r="CO1566" s="4"/>
      <c r="CP1566" s="4"/>
      <c r="CQ1566" s="4"/>
      <c r="CR1566" s="4"/>
      <c r="CS1566" s="4"/>
      <c r="CT1566" s="4"/>
      <c r="CU1566" s="4"/>
      <c r="CV1566" s="4"/>
      <c r="CW1566" s="4"/>
      <c r="CX1566" s="4"/>
      <c r="CY1566" s="4"/>
      <c r="CZ1566" s="4"/>
      <c r="DA1566" s="4"/>
      <c r="DB1566" s="4"/>
      <c r="DC1566" s="4"/>
      <c r="DD1566" s="4"/>
      <c r="DE1566" s="4"/>
      <c r="DF1566" s="4"/>
      <c r="DG1566" s="4"/>
      <c r="DH1566" s="4"/>
      <c r="DI1566" s="4"/>
      <c r="DJ1566" s="4"/>
      <c r="DK1566" s="4"/>
      <c r="DL1566" s="4"/>
      <c r="DM1566" s="4"/>
      <c r="DN1566" s="4"/>
      <c r="DO1566" s="4"/>
      <c r="DP1566" s="4"/>
      <c r="DQ1566" s="4"/>
      <c r="DR1566" s="4"/>
    </row>
    <row r="1567" spans="1:122" x14ac:dyDescent="0.25">
      <c r="A1567" s="2" t="s">
        <v>15</v>
      </c>
      <c r="B1567" s="2" t="str">
        <f>"FES1162769427"</f>
        <v>FES1162769427</v>
      </c>
      <c r="C1567" s="2" t="s">
        <v>1084</v>
      </c>
      <c r="D1567" s="2">
        <v>1</v>
      </c>
      <c r="E1567" s="2" t="str">
        <f>"2170756687"</f>
        <v>2170756687</v>
      </c>
      <c r="F1567" s="2" t="s">
        <v>17</v>
      </c>
      <c r="G1567" s="2" t="s">
        <v>18</v>
      </c>
      <c r="H1567" s="2" t="s">
        <v>33</v>
      </c>
      <c r="I1567" s="2" t="s">
        <v>34</v>
      </c>
      <c r="J1567" s="2" t="s">
        <v>400</v>
      </c>
      <c r="K1567" s="2" t="s">
        <v>1190</v>
      </c>
      <c r="L1567" s="3">
        <v>0.43333333333333335</v>
      </c>
      <c r="M1567" s="2" t="s">
        <v>706</v>
      </c>
      <c r="N1567" s="2" t="s">
        <v>500</v>
      </c>
      <c r="O1567" s="2"/>
      <c r="P1567" s="4"/>
      <c r="Q1567" s="4"/>
      <c r="R1567" s="4"/>
      <c r="S1567" s="4"/>
      <c r="T1567" s="4"/>
      <c r="U1567" s="4"/>
      <c r="V1567" s="4"/>
      <c r="W1567" s="4"/>
      <c r="X1567" s="4"/>
      <c r="Y1567" s="4"/>
      <c r="Z1567" s="4"/>
      <c r="AA1567" s="4"/>
      <c r="AB1567" s="4"/>
      <c r="AC1567" s="4"/>
      <c r="AD1567" s="4"/>
      <c r="AE1567" s="4"/>
      <c r="AF1567" s="4"/>
      <c r="AG1567" s="4"/>
      <c r="AH1567" s="4"/>
      <c r="AI1567" s="4"/>
      <c r="AJ1567" s="4"/>
      <c r="AK1567" s="4"/>
      <c r="AL1567" s="4"/>
      <c r="AM1567" s="4"/>
      <c r="AN1567" s="4"/>
      <c r="AO1567" s="4"/>
      <c r="AP1567" s="4"/>
      <c r="AQ1567" s="4"/>
      <c r="AR1567" s="4"/>
      <c r="AS1567" s="4"/>
      <c r="AT1567" s="4"/>
      <c r="AU1567" s="4"/>
      <c r="AV1567" s="4"/>
      <c r="AW1567" s="4"/>
      <c r="AX1567" s="4"/>
      <c r="AY1567" s="4"/>
      <c r="AZ1567" s="4"/>
      <c r="BA1567" s="4"/>
      <c r="BB1567" s="4"/>
      <c r="BC1567" s="4"/>
      <c r="BD1567" s="4"/>
      <c r="BE1567" s="4"/>
      <c r="BF1567" s="4"/>
      <c r="BG1567" s="4"/>
      <c r="BH1567" s="4"/>
      <c r="BI1567" s="4"/>
      <c r="BJ1567" s="4"/>
      <c r="BK1567" s="4"/>
      <c r="BL1567" s="4"/>
      <c r="BM1567" s="4"/>
      <c r="BN1567" s="4"/>
      <c r="BO1567" s="4"/>
      <c r="BP1567" s="4"/>
      <c r="BQ1567" s="4"/>
      <c r="BR1567" s="4"/>
      <c r="BS1567" s="4"/>
      <c r="BT1567" s="4"/>
      <c r="BU1567" s="4"/>
      <c r="BV1567" s="4"/>
      <c r="BW1567" s="4"/>
      <c r="BX1567" s="4"/>
      <c r="BY1567" s="4"/>
      <c r="BZ1567" s="4"/>
      <c r="CA1567" s="4"/>
      <c r="CB1567" s="4"/>
      <c r="CC1567" s="4"/>
      <c r="CD1567" s="4"/>
      <c r="CE1567" s="4"/>
      <c r="CF1567" s="4"/>
      <c r="CG1567" s="4"/>
      <c r="CH1567" s="4"/>
      <c r="CI1567" s="4"/>
      <c r="CJ1567" s="4"/>
      <c r="CK1567" s="4"/>
      <c r="CL1567" s="4"/>
      <c r="CM1567" s="4"/>
      <c r="CN1567" s="4"/>
      <c r="CO1567" s="4"/>
      <c r="CP1567" s="4"/>
      <c r="CQ1567" s="4"/>
      <c r="CR1567" s="4"/>
      <c r="CS1567" s="4"/>
      <c r="CT1567" s="4"/>
      <c r="CU1567" s="4"/>
      <c r="CV1567" s="4"/>
      <c r="CW1567" s="4"/>
      <c r="CX1567" s="4"/>
      <c r="CY1567" s="4"/>
      <c r="CZ1567" s="4"/>
      <c r="DA1567" s="4"/>
      <c r="DB1567" s="4"/>
      <c r="DC1567" s="4"/>
      <c r="DD1567" s="4"/>
      <c r="DE1567" s="4"/>
      <c r="DF1567" s="4"/>
      <c r="DG1567" s="4"/>
      <c r="DH1567" s="4"/>
      <c r="DI1567" s="4"/>
      <c r="DJ1567" s="4"/>
      <c r="DK1567" s="4"/>
      <c r="DL1567" s="4"/>
      <c r="DM1567" s="4"/>
      <c r="DN1567" s="4"/>
      <c r="DO1567" s="4"/>
      <c r="DP1567" s="4"/>
      <c r="DQ1567" s="4"/>
      <c r="DR1567" s="4"/>
    </row>
    <row r="1568" spans="1:122" x14ac:dyDescent="0.25">
      <c r="A1568" s="2" t="s">
        <v>15</v>
      </c>
      <c r="B1568" s="2" t="str">
        <f>"FES1162769438"</f>
        <v>FES1162769438</v>
      </c>
      <c r="C1568" s="2" t="s">
        <v>1084</v>
      </c>
      <c r="D1568" s="2">
        <v>1</v>
      </c>
      <c r="E1568" s="2" t="str">
        <f>"2170755608"</f>
        <v>2170755608</v>
      </c>
      <c r="F1568" s="2" t="s">
        <v>17</v>
      </c>
      <c r="G1568" s="2" t="s">
        <v>18</v>
      </c>
      <c r="H1568" s="2" t="s">
        <v>25</v>
      </c>
      <c r="I1568" s="2" t="s">
        <v>26</v>
      </c>
      <c r="J1568" s="2" t="s">
        <v>75</v>
      </c>
      <c r="K1568" s="2" t="s">
        <v>1190</v>
      </c>
      <c r="L1568" s="3">
        <v>0.36388888888888887</v>
      </c>
      <c r="M1568" s="2" t="s">
        <v>677</v>
      </c>
      <c r="N1568" s="2" t="s">
        <v>500</v>
      </c>
      <c r="O1568" s="2"/>
      <c r="P1568" s="4"/>
      <c r="Q1568" s="4"/>
      <c r="R1568" s="4"/>
      <c r="S1568" s="4"/>
      <c r="T1568" s="4"/>
      <c r="U1568" s="4"/>
      <c r="V1568" s="4"/>
      <c r="W1568" s="4"/>
      <c r="X1568" s="4"/>
      <c r="Y1568" s="4"/>
      <c r="Z1568" s="4"/>
      <c r="AA1568" s="4"/>
      <c r="AB1568" s="4"/>
      <c r="AC1568" s="4"/>
      <c r="AD1568" s="4"/>
      <c r="AE1568" s="4"/>
      <c r="AF1568" s="4"/>
      <c r="AG1568" s="4"/>
      <c r="AH1568" s="4"/>
      <c r="AI1568" s="4"/>
      <c r="AJ1568" s="4"/>
      <c r="AK1568" s="4"/>
      <c r="AL1568" s="4"/>
      <c r="AM1568" s="4"/>
      <c r="AN1568" s="4"/>
      <c r="AO1568" s="4"/>
      <c r="AP1568" s="4"/>
      <c r="AQ1568" s="4"/>
      <c r="AR1568" s="4"/>
      <c r="AS1568" s="4"/>
      <c r="AT1568" s="4"/>
      <c r="AU1568" s="4"/>
      <c r="AV1568" s="4"/>
      <c r="AW1568" s="4"/>
      <c r="AX1568" s="4"/>
      <c r="AY1568" s="4"/>
      <c r="AZ1568" s="4"/>
      <c r="BA1568" s="4"/>
      <c r="BB1568" s="4"/>
      <c r="BC1568" s="4"/>
      <c r="BD1568" s="4"/>
      <c r="BE1568" s="4"/>
      <c r="BF1568" s="4"/>
      <c r="BG1568" s="4"/>
      <c r="BH1568" s="4"/>
      <c r="BI1568" s="4"/>
      <c r="BJ1568" s="4"/>
      <c r="BK1568" s="4"/>
      <c r="BL1568" s="4"/>
      <c r="BM1568" s="4"/>
      <c r="BN1568" s="4"/>
      <c r="BO1568" s="4"/>
      <c r="BP1568" s="4"/>
      <c r="BQ1568" s="4"/>
      <c r="BR1568" s="4"/>
      <c r="BS1568" s="4"/>
      <c r="BT1568" s="4"/>
      <c r="BU1568" s="4"/>
      <c r="BV1568" s="4"/>
      <c r="BW1568" s="4"/>
      <c r="BX1568" s="4"/>
      <c r="BY1568" s="4"/>
      <c r="BZ1568" s="4"/>
      <c r="CA1568" s="4"/>
      <c r="CB1568" s="4"/>
      <c r="CC1568" s="4"/>
      <c r="CD1568" s="4"/>
      <c r="CE1568" s="4"/>
      <c r="CF1568" s="4"/>
      <c r="CG1568" s="4"/>
      <c r="CH1568" s="4"/>
      <c r="CI1568" s="4"/>
      <c r="CJ1568" s="4"/>
      <c r="CK1568" s="4"/>
      <c r="CL1568" s="4"/>
      <c r="CM1568" s="4"/>
      <c r="CN1568" s="4"/>
      <c r="CO1568" s="4"/>
      <c r="CP1568" s="4"/>
      <c r="CQ1568" s="4"/>
      <c r="CR1568" s="4"/>
      <c r="CS1568" s="4"/>
      <c r="CT1568" s="4"/>
      <c r="CU1568" s="4"/>
      <c r="CV1568" s="4"/>
      <c r="CW1568" s="4"/>
      <c r="CX1568" s="4"/>
      <c r="CY1568" s="4"/>
      <c r="CZ1568" s="4"/>
      <c r="DA1568" s="4"/>
      <c r="DB1568" s="4"/>
      <c r="DC1568" s="4"/>
      <c r="DD1568" s="4"/>
      <c r="DE1568" s="4"/>
      <c r="DF1568" s="4"/>
      <c r="DG1568" s="4"/>
      <c r="DH1568" s="4"/>
      <c r="DI1568" s="4"/>
      <c r="DJ1568" s="4"/>
      <c r="DK1568" s="4"/>
      <c r="DL1568" s="4"/>
      <c r="DM1568" s="4"/>
      <c r="DN1568" s="4"/>
      <c r="DO1568" s="4"/>
      <c r="DP1568" s="4"/>
      <c r="DQ1568" s="4"/>
      <c r="DR1568" s="4"/>
    </row>
    <row r="1569" spans="1:122" x14ac:dyDescent="0.25">
      <c r="A1569" s="2" t="s">
        <v>15</v>
      </c>
      <c r="B1569" s="2" t="str">
        <f>"FES1162769425"</f>
        <v>FES1162769425</v>
      </c>
      <c r="C1569" s="2" t="s">
        <v>1084</v>
      </c>
      <c r="D1569" s="2">
        <v>1</v>
      </c>
      <c r="E1569" s="2" t="str">
        <f>"2170757041"</f>
        <v>2170757041</v>
      </c>
      <c r="F1569" s="2" t="s">
        <v>17</v>
      </c>
      <c r="G1569" s="2" t="s">
        <v>18</v>
      </c>
      <c r="H1569" s="2" t="s">
        <v>78</v>
      </c>
      <c r="I1569" s="2" t="s">
        <v>79</v>
      </c>
      <c r="J1569" s="2" t="s">
        <v>81</v>
      </c>
      <c r="K1569" s="2" t="s">
        <v>1190</v>
      </c>
      <c r="L1569" s="3">
        <v>0.50902777777777775</v>
      </c>
      <c r="M1569" s="2" t="s">
        <v>1078</v>
      </c>
      <c r="N1569" s="2" t="s">
        <v>500</v>
      </c>
      <c r="O1569" s="2"/>
      <c r="P1569" s="4"/>
      <c r="Q1569" s="4"/>
      <c r="R1569" s="4"/>
      <c r="S1569" s="4"/>
      <c r="T1569" s="4"/>
      <c r="U1569" s="4"/>
      <c r="V1569" s="4"/>
      <c r="W1569" s="4"/>
      <c r="X1569" s="4"/>
      <c r="Y1569" s="4"/>
      <c r="Z1569" s="4"/>
      <c r="AA1569" s="4"/>
      <c r="AB1569" s="4"/>
      <c r="AC1569" s="4"/>
      <c r="AD1569" s="4"/>
      <c r="AE1569" s="4"/>
      <c r="AF1569" s="4"/>
      <c r="AG1569" s="4"/>
      <c r="AH1569" s="4"/>
      <c r="AI1569" s="4"/>
      <c r="AJ1569" s="4"/>
      <c r="AK1569" s="4"/>
      <c r="AL1569" s="4"/>
      <c r="AM1569" s="4"/>
      <c r="AN1569" s="4"/>
      <c r="AO1569" s="4"/>
      <c r="AP1569" s="4"/>
      <c r="AQ1569" s="4"/>
      <c r="AR1569" s="4"/>
      <c r="AS1569" s="4"/>
      <c r="AT1569" s="4"/>
      <c r="AU1569" s="4"/>
      <c r="AV1569" s="4"/>
      <c r="AW1569" s="4"/>
      <c r="AX1569" s="4"/>
      <c r="AY1569" s="4"/>
      <c r="AZ1569" s="4"/>
      <c r="BA1569" s="4"/>
      <c r="BB1569" s="4"/>
      <c r="BC1569" s="4"/>
      <c r="BD1569" s="4"/>
      <c r="BE1569" s="4"/>
      <c r="BF1569" s="4"/>
      <c r="BG1569" s="4"/>
      <c r="BH1569" s="4"/>
      <c r="BI1569" s="4"/>
      <c r="BJ1569" s="4"/>
      <c r="BK1569" s="4"/>
      <c r="BL1569" s="4"/>
      <c r="BM1569" s="4"/>
      <c r="BN1569" s="4"/>
      <c r="BO1569" s="4"/>
      <c r="BP1569" s="4"/>
      <c r="BQ1569" s="4"/>
      <c r="BR1569" s="4"/>
      <c r="BS1569" s="4"/>
      <c r="BT1569" s="4"/>
      <c r="BU1569" s="4"/>
      <c r="BV1569" s="4"/>
      <c r="BW1569" s="4"/>
      <c r="BX1569" s="4"/>
      <c r="BY1569" s="4"/>
      <c r="BZ1569" s="4"/>
      <c r="CA1569" s="4"/>
      <c r="CB1569" s="4"/>
      <c r="CC1569" s="4"/>
      <c r="CD1569" s="4"/>
      <c r="CE1569" s="4"/>
      <c r="CF1569" s="4"/>
      <c r="CG1569" s="4"/>
      <c r="CH1569" s="4"/>
      <c r="CI1569" s="4"/>
      <c r="CJ1569" s="4"/>
      <c r="CK1569" s="4"/>
      <c r="CL1569" s="4"/>
      <c r="CM1569" s="4"/>
      <c r="CN1569" s="4"/>
      <c r="CO1569" s="4"/>
      <c r="CP1569" s="4"/>
      <c r="CQ1569" s="4"/>
      <c r="CR1569" s="4"/>
      <c r="CS1569" s="4"/>
      <c r="CT1569" s="4"/>
      <c r="CU1569" s="4"/>
      <c r="CV1569" s="4"/>
      <c r="CW1569" s="4"/>
      <c r="CX1569" s="4"/>
      <c r="CY1569" s="4"/>
      <c r="CZ1569" s="4"/>
      <c r="DA1569" s="4"/>
      <c r="DB1569" s="4"/>
      <c r="DC1569" s="4"/>
      <c r="DD1569" s="4"/>
      <c r="DE1569" s="4"/>
      <c r="DF1569" s="4"/>
      <c r="DG1569" s="4"/>
      <c r="DH1569" s="4"/>
      <c r="DI1569" s="4"/>
      <c r="DJ1569" s="4"/>
      <c r="DK1569" s="4"/>
      <c r="DL1569" s="4"/>
      <c r="DM1569" s="4"/>
      <c r="DN1569" s="4"/>
      <c r="DO1569" s="4"/>
      <c r="DP1569" s="4"/>
      <c r="DQ1569" s="4"/>
      <c r="DR1569" s="4"/>
    </row>
    <row r="1570" spans="1:122" x14ac:dyDescent="0.25">
      <c r="A1570" s="2" t="s">
        <v>15</v>
      </c>
      <c r="B1570" s="2" t="str">
        <f>"FES1162769434"</f>
        <v>FES1162769434</v>
      </c>
      <c r="C1570" s="2" t="s">
        <v>1084</v>
      </c>
      <c r="D1570" s="2">
        <v>1</v>
      </c>
      <c r="E1570" s="2" t="str">
        <f>"2170753502"</f>
        <v>2170753502</v>
      </c>
      <c r="F1570" s="2" t="s">
        <v>17</v>
      </c>
      <c r="G1570" s="2" t="s">
        <v>18</v>
      </c>
      <c r="H1570" s="2" t="s">
        <v>18</v>
      </c>
      <c r="I1570" s="2" t="s">
        <v>63</v>
      </c>
      <c r="J1570" s="2" t="s">
        <v>1235</v>
      </c>
      <c r="K1570" s="2" t="s">
        <v>1190</v>
      </c>
      <c r="L1570" s="3">
        <v>0.33055555555555555</v>
      </c>
      <c r="M1570" s="2" t="s">
        <v>1236</v>
      </c>
      <c r="N1570" s="2" t="s">
        <v>500</v>
      </c>
      <c r="O1570" s="2"/>
      <c r="P1570" s="4"/>
      <c r="Q1570" s="4"/>
      <c r="R1570" s="4"/>
      <c r="S1570" s="4"/>
      <c r="T1570" s="4"/>
      <c r="U1570" s="4"/>
      <c r="V1570" s="4"/>
      <c r="W1570" s="4"/>
      <c r="X1570" s="4"/>
      <c r="Y1570" s="4"/>
      <c r="Z1570" s="4"/>
      <c r="AA1570" s="4"/>
      <c r="AB1570" s="4"/>
      <c r="AC1570" s="4"/>
      <c r="AD1570" s="4"/>
      <c r="AE1570" s="4"/>
      <c r="AF1570" s="4"/>
      <c r="AG1570" s="4"/>
      <c r="AH1570" s="4"/>
      <c r="AI1570" s="4"/>
      <c r="AJ1570" s="4"/>
      <c r="AK1570" s="4"/>
      <c r="AL1570" s="4"/>
      <c r="AM1570" s="4"/>
      <c r="AN1570" s="4"/>
      <c r="AO1570" s="4"/>
      <c r="AP1570" s="4"/>
      <c r="AQ1570" s="4"/>
      <c r="AR1570" s="4"/>
      <c r="AS1570" s="4"/>
      <c r="AT1570" s="4"/>
      <c r="AU1570" s="4"/>
      <c r="AV1570" s="4"/>
      <c r="AW1570" s="4"/>
      <c r="AX1570" s="4"/>
      <c r="AY1570" s="4"/>
      <c r="AZ1570" s="4"/>
      <c r="BA1570" s="4"/>
      <c r="BB1570" s="4"/>
      <c r="BC1570" s="4"/>
      <c r="BD1570" s="4"/>
      <c r="BE1570" s="4"/>
      <c r="BF1570" s="4"/>
      <c r="BG1570" s="4"/>
      <c r="BH1570" s="4"/>
      <c r="BI1570" s="4"/>
      <c r="BJ1570" s="4"/>
      <c r="BK1570" s="4"/>
      <c r="BL1570" s="4"/>
      <c r="BM1570" s="4"/>
      <c r="BN1570" s="4"/>
      <c r="BO1570" s="4"/>
      <c r="BP1570" s="4"/>
      <c r="BQ1570" s="4"/>
      <c r="BR1570" s="4"/>
      <c r="BS1570" s="4"/>
      <c r="BT1570" s="4"/>
      <c r="BU1570" s="4"/>
      <c r="BV1570" s="4"/>
      <c r="BW1570" s="4"/>
      <c r="BX1570" s="4"/>
      <c r="BY1570" s="4"/>
      <c r="BZ1570" s="4"/>
      <c r="CA1570" s="4"/>
      <c r="CB1570" s="4"/>
      <c r="CC1570" s="4"/>
      <c r="CD1570" s="4"/>
      <c r="CE1570" s="4"/>
      <c r="CF1570" s="4"/>
      <c r="CG1570" s="4"/>
      <c r="CH1570" s="4"/>
      <c r="CI1570" s="4"/>
      <c r="CJ1570" s="4"/>
      <c r="CK1570" s="4"/>
      <c r="CL1570" s="4"/>
      <c r="CM1570" s="4"/>
      <c r="CN1570" s="4"/>
      <c r="CO1570" s="4"/>
      <c r="CP1570" s="4"/>
      <c r="CQ1570" s="4"/>
      <c r="CR1570" s="4"/>
      <c r="CS1570" s="4"/>
      <c r="CT1570" s="4"/>
      <c r="CU1570" s="4"/>
      <c r="CV1570" s="4"/>
      <c r="CW1570" s="4"/>
      <c r="CX1570" s="4"/>
      <c r="CY1570" s="4"/>
      <c r="CZ1570" s="4"/>
      <c r="DA1570" s="4"/>
      <c r="DB1570" s="4"/>
      <c r="DC1570" s="4"/>
      <c r="DD1570" s="4"/>
      <c r="DE1570" s="4"/>
      <c r="DF1570" s="4"/>
      <c r="DG1570" s="4"/>
      <c r="DH1570" s="4"/>
      <c r="DI1570" s="4"/>
      <c r="DJ1570" s="4"/>
      <c r="DK1570" s="4"/>
      <c r="DL1570" s="4"/>
      <c r="DM1570" s="4"/>
      <c r="DN1570" s="4"/>
      <c r="DO1570" s="4"/>
      <c r="DP1570" s="4"/>
      <c r="DQ1570" s="4"/>
      <c r="DR1570" s="4"/>
    </row>
    <row r="1571" spans="1:122" x14ac:dyDescent="0.25">
      <c r="A1571" s="2" t="s">
        <v>15</v>
      </c>
      <c r="B1571" s="2" t="str">
        <f>"FES1162769341"</f>
        <v>FES1162769341</v>
      </c>
      <c r="C1571" s="2" t="s">
        <v>1084</v>
      </c>
      <c r="D1571" s="2">
        <v>1</v>
      </c>
      <c r="E1571" s="2" t="str">
        <f>"2170756538"</f>
        <v>2170756538</v>
      </c>
      <c r="F1571" s="2" t="s">
        <v>17</v>
      </c>
      <c r="G1571" s="2" t="s">
        <v>18</v>
      </c>
      <c r="H1571" s="2" t="s">
        <v>25</v>
      </c>
      <c r="I1571" s="2" t="s">
        <v>26</v>
      </c>
      <c r="J1571" s="2" t="s">
        <v>27</v>
      </c>
      <c r="K1571" s="2" t="s">
        <v>1190</v>
      </c>
      <c r="L1571" s="3">
        <v>0.40833333333333338</v>
      </c>
      <c r="M1571" s="2" t="s">
        <v>1270</v>
      </c>
      <c r="N1571" s="2" t="s">
        <v>500</v>
      </c>
      <c r="O1571" s="2"/>
      <c r="P1571" s="4"/>
      <c r="Q1571" s="4"/>
      <c r="R1571" s="4"/>
      <c r="S1571" s="4"/>
      <c r="T1571" s="4"/>
      <c r="U1571" s="4"/>
      <c r="V1571" s="4"/>
      <c r="W1571" s="4"/>
      <c r="X1571" s="4"/>
      <c r="Y1571" s="4"/>
      <c r="Z1571" s="4"/>
      <c r="AA1571" s="4"/>
      <c r="AB1571" s="4"/>
      <c r="AC1571" s="4"/>
      <c r="AD1571" s="4"/>
      <c r="AE1571" s="4"/>
      <c r="AF1571" s="4"/>
      <c r="AG1571" s="4"/>
      <c r="AH1571" s="4"/>
      <c r="AI1571" s="4"/>
      <c r="AJ1571" s="4"/>
      <c r="AK1571" s="4"/>
      <c r="AL1571" s="4"/>
      <c r="AM1571" s="4"/>
      <c r="AN1571" s="4"/>
      <c r="AO1571" s="4"/>
      <c r="AP1571" s="4"/>
      <c r="AQ1571" s="4"/>
      <c r="AR1571" s="4"/>
      <c r="AS1571" s="4"/>
      <c r="AT1571" s="4"/>
      <c r="AU1571" s="4"/>
      <c r="AV1571" s="4"/>
      <c r="AW1571" s="4"/>
      <c r="AX1571" s="4"/>
      <c r="AY1571" s="4"/>
      <c r="AZ1571" s="4"/>
      <c r="BA1571" s="4"/>
      <c r="BB1571" s="4"/>
      <c r="BC1571" s="4"/>
      <c r="BD1571" s="4"/>
      <c r="BE1571" s="4"/>
      <c r="BF1571" s="4"/>
      <c r="BG1571" s="4"/>
      <c r="BH1571" s="4"/>
      <c r="BI1571" s="4"/>
      <c r="BJ1571" s="4"/>
      <c r="BK1571" s="4"/>
      <c r="BL1571" s="4"/>
      <c r="BM1571" s="4"/>
      <c r="BN1571" s="4"/>
      <c r="BO1571" s="4"/>
      <c r="BP1571" s="4"/>
      <c r="BQ1571" s="4"/>
      <c r="BR1571" s="4"/>
      <c r="BS1571" s="4"/>
      <c r="BT1571" s="4"/>
      <c r="BU1571" s="4"/>
      <c r="BV1571" s="4"/>
      <c r="BW1571" s="4"/>
      <c r="BX1571" s="4"/>
      <c r="BY1571" s="4"/>
      <c r="BZ1571" s="4"/>
      <c r="CA1571" s="4"/>
      <c r="CB1571" s="4"/>
      <c r="CC1571" s="4"/>
      <c r="CD1571" s="4"/>
      <c r="CE1571" s="4"/>
      <c r="CF1571" s="4"/>
      <c r="CG1571" s="4"/>
      <c r="CH1571" s="4"/>
      <c r="CI1571" s="4"/>
      <c r="CJ1571" s="4"/>
      <c r="CK1571" s="4"/>
      <c r="CL1571" s="4"/>
      <c r="CM1571" s="4"/>
      <c r="CN1571" s="4"/>
      <c r="CO1571" s="4"/>
      <c r="CP1571" s="4"/>
      <c r="CQ1571" s="4"/>
      <c r="CR1571" s="4"/>
      <c r="CS1571" s="4"/>
      <c r="CT1571" s="4"/>
      <c r="CU1571" s="4"/>
      <c r="CV1571" s="4"/>
      <c r="CW1571" s="4"/>
      <c r="CX1571" s="4"/>
      <c r="CY1571" s="4"/>
      <c r="CZ1571" s="4"/>
      <c r="DA1571" s="4"/>
      <c r="DB1571" s="4"/>
      <c r="DC1571" s="4"/>
      <c r="DD1571" s="4"/>
      <c r="DE1571" s="4"/>
      <c r="DF1571" s="4"/>
      <c r="DG1571" s="4"/>
      <c r="DH1571" s="4"/>
      <c r="DI1571" s="4"/>
      <c r="DJ1571" s="4"/>
      <c r="DK1571" s="4"/>
      <c r="DL1571" s="4"/>
      <c r="DM1571" s="4"/>
      <c r="DN1571" s="4"/>
      <c r="DO1571" s="4"/>
      <c r="DP1571" s="4"/>
      <c r="DQ1571" s="4"/>
      <c r="DR1571" s="4"/>
    </row>
    <row r="1572" spans="1:122" x14ac:dyDescent="0.25">
      <c r="A1572" s="2" t="s">
        <v>15</v>
      </c>
      <c r="B1572" s="2" t="str">
        <f>"FES1162769440"</f>
        <v>FES1162769440</v>
      </c>
      <c r="C1572" s="2" t="s">
        <v>1084</v>
      </c>
      <c r="D1572" s="2">
        <v>1</v>
      </c>
      <c r="E1572" s="2" t="str">
        <f>"2170752953"</f>
        <v>2170752953</v>
      </c>
      <c r="F1572" s="2" t="s">
        <v>17</v>
      </c>
      <c r="G1572" s="2" t="s">
        <v>18</v>
      </c>
      <c r="H1572" s="2" t="s">
        <v>36</v>
      </c>
      <c r="I1572" s="2" t="s">
        <v>134</v>
      </c>
      <c r="J1572" s="2" t="s">
        <v>135</v>
      </c>
      <c r="K1572" s="2" t="s">
        <v>1190</v>
      </c>
      <c r="L1572" s="3">
        <v>0.55555555555555558</v>
      </c>
      <c r="M1572" s="2" t="s">
        <v>744</v>
      </c>
      <c r="N1572" s="2" t="s">
        <v>500</v>
      </c>
      <c r="O1572" s="2"/>
      <c r="P1572" s="4"/>
      <c r="Q1572" s="4"/>
      <c r="R1572" s="4"/>
      <c r="S1572" s="4"/>
      <c r="T1572" s="4"/>
      <c r="U1572" s="4"/>
      <c r="V1572" s="4"/>
      <c r="W1572" s="4"/>
      <c r="X1572" s="4"/>
      <c r="Y1572" s="4"/>
      <c r="Z1572" s="4"/>
      <c r="AA1572" s="4"/>
      <c r="AB1572" s="4"/>
      <c r="AC1572" s="4"/>
      <c r="AD1572" s="4"/>
      <c r="AE1572" s="4"/>
      <c r="AF1572" s="4"/>
      <c r="AG1572" s="4"/>
      <c r="AH1572" s="4"/>
      <c r="AI1572" s="4"/>
      <c r="AJ1572" s="4"/>
      <c r="AK1572" s="4"/>
      <c r="AL1572" s="4"/>
      <c r="AM1572" s="4"/>
      <c r="AN1572" s="4"/>
      <c r="AO1572" s="4"/>
      <c r="AP1572" s="4"/>
      <c r="AQ1572" s="4"/>
      <c r="AR1572" s="4"/>
      <c r="AS1572" s="4"/>
      <c r="AT1572" s="4"/>
      <c r="AU1572" s="4"/>
      <c r="AV1572" s="4"/>
      <c r="AW1572" s="4"/>
      <c r="AX1572" s="4"/>
      <c r="AY1572" s="4"/>
      <c r="AZ1572" s="4"/>
      <c r="BA1572" s="4"/>
      <c r="BB1572" s="4"/>
      <c r="BC1572" s="4"/>
      <c r="BD1572" s="4"/>
      <c r="BE1572" s="4"/>
      <c r="BF1572" s="4"/>
      <c r="BG1572" s="4"/>
      <c r="BH1572" s="4"/>
      <c r="BI1572" s="4"/>
      <c r="BJ1572" s="4"/>
      <c r="BK1572" s="4"/>
      <c r="BL1572" s="4"/>
      <c r="BM1572" s="4"/>
      <c r="BN1572" s="4"/>
      <c r="BO1572" s="4"/>
      <c r="BP1572" s="4"/>
      <c r="BQ1572" s="4"/>
      <c r="BR1572" s="4"/>
      <c r="BS1572" s="4"/>
      <c r="BT1572" s="4"/>
      <c r="BU1572" s="4"/>
      <c r="BV1572" s="4"/>
      <c r="BW1572" s="4"/>
      <c r="BX1572" s="4"/>
      <c r="BY1572" s="4"/>
      <c r="BZ1572" s="4"/>
      <c r="CA1572" s="4"/>
      <c r="CB1572" s="4"/>
      <c r="CC1572" s="4"/>
      <c r="CD1572" s="4"/>
      <c r="CE1572" s="4"/>
      <c r="CF1572" s="4"/>
      <c r="CG1572" s="4"/>
      <c r="CH1572" s="4"/>
      <c r="CI1572" s="4"/>
      <c r="CJ1572" s="4"/>
      <c r="CK1572" s="4"/>
      <c r="CL1572" s="4"/>
      <c r="CM1572" s="4"/>
      <c r="CN1572" s="4"/>
      <c r="CO1572" s="4"/>
      <c r="CP1572" s="4"/>
      <c r="CQ1572" s="4"/>
      <c r="CR1572" s="4"/>
      <c r="CS1572" s="4"/>
      <c r="CT1572" s="4"/>
      <c r="CU1572" s="4"/>
      <c r="CV1572" s="4"/>
      <c r="CW1572" s="4"/>
      <c r="CX1572" s="4"/>
      <c r="CY1572" s="4"/>
      <c r="CZ1572" s="4"/>
      <c r="DA1572" s="4"/>
      <c r="DB1572" s="4"/>
      <c r="DC1572" s="4"/>
      <c r="DD1572" s="4"/>
      <c r="DE1572" s="4"/>
      <c r="DF1572" s="4"/>
      <c r="DG1572" s="4"/>
      <c r="DH1572" s="4"/>
      <c r="DI1572" s="4"/>
      <c r="DJ1572" s="4"/>
      <c r="DK1572" s="4"/>
      <c r="DL1572" s="4"/>
      <c r="DM1572" s="4"/>
      <c r="DN1572" s="4"/>
      <c r="DO1572" s="4"/>
      <c r="DP1572" s="4"/>
      <c r="DQ1572" s="4"/>
      <c r="DR1572" s="4"/>
    </row>
    <row r="1573" spans="1:122" x14ac:dyDescent="0.25">
      <c r="A1573" s="2" t="s">
        <v>15</v>
      </c>
      <c r="B1573" s="2" t="str">
        <f>"FES1162769441"</f>
        <v>FES1162769441</v>
      </c>
      <c r="C1573" s="2" t="s">
        <v>1084</v>
      </c>
      <c r="D1573" s="2">
        <v>1</v>
      </c>
      <c r="E1573" s="2" t="str">
        <f>"2170752404"</f>
        <v>2170752404</v>
      </c>
      <c r="F1573" s="2" t="s">
        <v>17</v>
      </c>
      <c r="G1573" s="2" t="s">
        <v>18</v>
      </c>
      <c r="H1573" s="2" t="s">
        <v>36</v>
      </c>
      <c r="I1573" s="2" t="s">
        <v>134</v>
      </c>
      <c r="J1573" s="2" t="s">
        <v>1237</v>
      </c>
      <c r="K1573" s="2" t="s">
        <v>1190</v>
      </c>
      <c r="L1573" s="3">
        <v>0.55555555555555558</v>
      </c>
      <c r="M1573" s="2" t="s">
        <v>744</v>
      </c>
      <c r="N1573" s="2" t="s">
        <v>500</v>
      </c>
      <c r="O1573" s="2"/>
      <c r="P1573" s="4"/>
      <c r="Q1573" s="4"/>
      <c r="R1573" s="4"/>
      <c r="S1573" s="4"/>
      <c r="T1573" s="4"/>
      <c r="U1573" s="4"/>
      <c r="V1573" s="4"/>
      <c r="W1573" s="4"/>
      <c r="X1573" s="4"/>
      <c r="Y1573" s="4"/>
      <c r="Z1573" s="4"/>
      <c r="AA1573" s="4"/>
      <c r="AB1573" s="4"/>
      <c r="AC1573" s="4"/>
      <c r="AD1573" s="4"/>
      <c r="AE1573" s="4"/>
      <c r="AF1573" s="4"/>
      <c r="AG1573" s="4"/>
      <c r="AH1573" s="4"/>
      <c r="AI1573" s="4"/>
      <c r="AJ1573" s="4"/>
      <c r="AK1573" s="4"/>
      <c r="AL1573" s="4"/>
      <c r="AM1573" s="4"/>
      <c r="AN1573" s="4"/>
      <c r="AO1573" s="4"/>
      <c r="AP1573" s="4"/>
      <c r="AQ1573" s="4"/>
      <c r="AR1573" s="4"/>
      <c r="AS1573" s="4"/>
      <c r="AT1573" s="4"/>
      <c r="AU1573" s="4"/>
      <c r="AV1573" s="4"/>
      <c r="AW1573" s="4"/>
      <c r="AX1573" s="4"/>
      <c r="AY1573" s="4"/>
      <c r="AZ1573" s="4"/>
      <c r="BA1573" s="4"/>
      <c r="BB1573" s="4"/>
      <c r="BC1573" s="4"/>
      <c r="BD1573" s="4"/>
      <c r="BE1573" s="4"/>
      <c r="BF1573" s="4"/>
      <c r="BG1573" s="4"/>
      <c r="BH1573" s="4"/>
      <c r="BI1573" s="4"/>
      <c r="BJ1573" s="4"/>
      <c r="BK1573" s="4"/>
      <c r="BL1573" s="4"/>
      <c r="BM1573" s="4"/>
      <c r="BN1573" s="4"/>
      <c r="BO1573" s="4"/>
      <c r="BP1573" s="4"/>
      <c r="BQ1573" s="4"/>
      <c r="BR1573" s="4"/>
      <c r="BS1573" s="4"/>
      <c r="BT1573" s="4"/>
      <c r="BU1573" s="4"/>
      <c r="BV1573" s="4"/>
      <c r="BW1573" s="4"/>
      <c r="BX1573" s="4"/>
      <c r="BY1573" s="4"/>
      <c r="BZ1573" s="4"/>
      <c r="CA1573" s="4"/>
      <c r="CB1573" s="4"/>
      <c r="CC1573" s="4"/>
      <c r="CD1573" s="4"/>
      <c r="CE1573" s="4"/>
      <c r="CF1573" s="4"/>
      <c r="CG1573" s="4"/>
      <c r="CH1573" s="4"/>
      <c r="CI1573" s="4"/>
      <c r="CJ1573" s="4"/>
      <c r="CK1573" s="4"/>
      <c r="CL1573" s="4"/>
      <c r="CM1573" s="4"/>
      <c r="CN1573" s="4"/>
      <c r="CO1573" s="4"/>
      <c r="CP1573" s="4"/>
      <c r="CQ1573" s="4"/>
      <c r="CR1573" s="4"/>
      <c r="CS1573" s="4"/>
      <c r="CT1573" s="4"/>
      <c r="CU1573" s="4"/>
      <c r="CV1573" s="4"/>
      <c r="CW1573" s="4"/>
      <c r="CX1573" s="4"/>
      <c r="CY1573" s="4"/>
      <c r="CZ1573" s="4"/>
      <c r="DA1573" s="4"/>
      <c r="DB1573" s="4"/>
      <c r="DC1573" s="4"/>
      <c r="DD1573" s="4"/>
      <c r="DE1573" s="4"/>
      <c r="DF1573" s="4"/>
      <c r="DG1573" s="4"/>
      <c r="DH1573" s="4"/>
      <c r="DI1573" s="4"/>
      <c r="DJ1573" s="4"/>
      <c r="DK1573" s="4"/>
      <c r="DL1573" s="4"/>
      <c r="DM1573" s="4"/>
      <c r="DN1573" s="4"/>
      <c r="DO1573" s="4"/>
      <c r="DP1573" s="4"/>
      <c r="DQ1573" s="4"/>
      <c r="DR1573" s="4"/>
    </row>
    <row r="1574" spans="1:122" x14ac:dyDescent="0.25">
      <c r="A1574" s="2" t="s">
        <v>15</v>
      </c>
      <c r="B1574" s="2" t="str">
        <f>"FES1162768057"</f>
        <v>FES1162768057</v>
      </c>
      <c r="C1574" s="2" t="s">
        <v>1084</v>
      </c>
      <c r="D1574" s="2">
        <v>1</v>
      </c>
      <c r="E1574" s="2" t="str">
        <f>"2170755683"</f>
        <v>2170755683</v>
      </c>
      <c r="F1574" s="2" t="s">
        <v>17</v>
      </c>
      <c r="G1574" s="2" t="s">
        <v>18</v>
      </c>
      <c r="H1574" s="2" t="s">
        <v>19</v>
      </c>
      <c r="I1574" s="2" t="s">
        <v>20</v>
      </c>
      <c r="J1574" s="2" t="s">
        <v>606</v>
      </c>
      <c r="K1574" s="2" t="s">
        <v>1190</v>
      </c>
      <c r="L1574" s="3">
        <v>0.37083333333333335</v>
      </c>
      <c r="M1574" s="2" t="s">
        <v>1283</v>
      </c>
      <c r="N1574" s="2" t="s">
        <v>500</v>
      </c>
      <c r="O1574" s="2"/>
      <c r="P1574" s="4"/>
      <c r="Q1574" s="4"/>
      <c r="R1574" s="4"/>
      <c r="S1574" s="4"/>
      <c r="T1574" s="4"/>
      <c r="U1574" s="4"/>
      <c r="V1574" s="4"/>
      <c r="W1574" s="4"/>
      <c r="X1574" s="4"/>
      <c r="Y1574" s="4"/>
      <c r="Z1574" s="4"/>
      <c r="AA1574" s="4"/>
      <c r="AB1574" s="4"/>
      <c r="AC1574" s="4"/>
      <c r="AD1574" s="4"/>
      <c r="AE1574" s="4"/>
      <c r="AF1574" s="4"/>
      <c r="AG1574" s="4"/>
      <c r="AH1574" s="4"/>
      <c r="AI1574" s="4"/>
      <c r="AJ1574" s="4"/>
      <c r="AK1574" s="4"/>
      <c r="AL1574" s="4"/>
      <c r="AM1574" s="4"/>
      <c r="AN1574" s="4"/>
      <c r="AO1574" s="4"/>
      <c r="AP1574" s="4"/>
      <c r="AQ1574" s="4"/>
      <c r="AR1574" s="4"/>
      <c r="AS1574" s="4"/>
      <c r="AT1574" s="4"/>
      <c r="AU1574" s="4"/>
      <c r="AV1574" s="4"/>
      <c r="AW1574" s="4"/>
      <c r="AX1574" s="4"/>
      <c r="AY1574" s="4"/>
      <c r="AZ1574" s="4"/>
      <c r="BA1574" s="4"/>
      <c r="BB1574" s="4"/>
      <c r="BC1574" s="4"/>
      <c r="BD1574" s="4"/>
      <c r="BE1574" s="4"/>
      <c r="BF1574" s="4"/>
      <c r="BG1574" s="4"/>
      <c r="BH1574" s="4"/>
      <c r="BI1574" s="4"/>
      <c r="BJ1574" s="4"/>
      <c r="BK1574" s="4"/>
      <c r="BL1574" s="4"/>
      <c r="BM1574" s="4"/>
      <c r="BN1574" s="4"/>
      <c r="BO1574" s="4"/>
      <c r="BP1574" s="4"/>
      <c r="BQ1574" s="4"/>
      <c r="BR1574" s="4"/>
      <c r="BS1574" s="4"/>
      <c r="BT1574" s="4"/>
      <c r="BU1574" s="4"/>
      <c r="BV1574" s="4"/>
      <c r="BW1574" s="4"/>
      <c r="BX1574" s="4"/>
      <c r="BY1574" s="4"/>
      <c r="BZ1574" s="4"/>
      <c r="CA1574" s="4"/>
      <c r="CB1574" s="4"/>
      <c r="CC1574" s="4"/>
      <c r="CD1574" s="4"/>
      <c r="CE1574" s="4"/>
      <c r="CF1574" s="4"/>
      <c r="CG1574" s="4"/>
      <c r="CH1574" s="4"/>
      <c r="CI1574" s="4"/>
      <c r="CJ1574" s="4"/>
      <c r="CK1574" s="4"/>
      <c r="CL1574" s="4"/>
      <c r="CM1574" s="4"/>
      <c r="CN1574" s="4"/>
      <c r="CO1574" s="4"/>
      <c r="CP1574" s="4"/>
      <c r="CQ1574" s="4"/>
      <c r="CR1574" s="4"/>
      <c r="CS1574" s="4"/>
      <c r="CT1574" s="4"/>
      <c r="CU1574" s="4"/>
      <c r="CV1574" s="4"/>
      <c r="CW1574" s="4"/>
      <c r="CX1574" s="4"/>
      <c r="CY1574" s="4"/>
      <c r="CZ1574" s="4"/>
      <c r="DA1574" s="4"/>
      <c r="DB1574" s="4"/>
      <c r="DC1574" s="4"/>
      <c r="DD1574" s="4"/>
      <c r="DE1574" s="4"/>
      <c r="DF1574" s="4"/>
      <c r="DG1574" s="4"/>
      <c r="DH1574" s="4"/>
      <c r="DI1574" s="4"/>
      <c r="DJ1574" s="4"/>
      <c r="DK1574" s="4"/>
      <c r="DL1574" s="4"/>
      <c r="DM1574" s="4"/>
      <c r="DN1574" s="4"/>
      <c r="DO1574" s="4"/>
      <c r="DP1574" s="4"/>
      <c r="DQ1574" s="4"/>
      <c r="DR1574" s="4"/>
    </row>
    <row r="1575" spans="1:122" x14ac:dyDescent="0.25">
      <c r="A1575" s="2" t="s">
        <v>15</v>
      </c>
      <c r="B1575" s="2" t="str">
        <f>"FES1162769442"</f>
        <v>FES1162769442</v>
      </c>
      <c r="C1575" s="2" t="s">
        <v>1084</v>
      </c>
      <c r="D1575" s="2">
        <v>1</v>
      </c>
      <c r="E1575" s="2" t="str">
        <f>"2170752637"</f>
        <v>2170752637</v>
      </c>
      <c r="F1575" s="2" t="s">
        <v>17</v>
      </c>
      <c r="G1575" s="2" t="s">
        <v>18</v>
      </c>
      <c r="H1575" s="2" t="s">
        <v>36</v>
      </c>
      <c r="I1575" s="2" t="s">
        <v>134</v>
      </c>
      <c r="J1575" s="2" t="s">
        <v>1237</v>
      </c>
      <c r="K1575" s="2" t="s">
        <v>1190</v>
      </c>
      <c r="L1575" s="3">
        <v>0.55555555555555558</v>
      </c>
      <c r="M1575" s="2" t="s">
        <v>744</v>
      </c>
      <c r="N1575" s="2" t="s">
        <v>500</v>
      </c>
      <c r="O1575" s="2"/>
      <c r="P1575" s="4"/>
      <c r="Q1575" s="4"/>
      <c r="R1575" s="4"/>
      <c r="S1575" s="4"/>
      <c r="T1575" s="4"/>
      <c r="U1575" s="4"/>
      <c r="V1575" s="4"/>
      <c r="W1575" s="4"/>
      <c r="X1575" s="4"/>
      <c r="Y1575" s="4"/>
      <c r="Z1575" s="4"/>
      <c r="AA1575" s="4"/>
      <c r="AB1575" s="4"/>
      <c r="AC1575" s="4"/>
      <c r="AD1575" s="4"/>
      <c r="AE1575" s="4"/>
      <c r="AF1575" s="4"/>
      <c r="AG1575" s="4"/>
      <c r="AH1575" s="4"/>
      <c r="AI1575" s="4"/>
      <c r="AJ1575" s="4"/>
      <c r="AK1575" s="4"/>
      <c r="AL1575" s="4"/>
      <c r="AM1575" s="4"/>
      <c r="AN1575" s="4"/>
      <c r="AO1575" s="4"/>
      <c r="AP1575" s="4"/>
      <c r="AQ1575" s="4"/>
      <c r="AR1575" s="4"/>
      <c r="AS1575" s="4"/>
      <c r="AT1575" s="4"/>
      <c r="AU1575" s="4"/>
      <c r="AV1575" s="4"/>
      <c r="AW1575" s="4"/>
      <c r="AX1575" s="4"/>
      <c r="AY1575" s="4"/>
      <c r="AZ1575" s="4"/>
      <c r="BA1575" s="4"/>
      <c r="BB1575" s="4"/>
      <c r="BC1575" s="4"/>
      <c r="BD1575" s="4"/>
      <c r="BE1575" s="4"/>
      <c r="BF1575" s="4"/>
      <c r="BG1575" s="4"/>
      <c r="BH1575" s="4"/>
      <c r="BI1575" s="4"/>
      <c r="BJ1575" s="4"/>
      <c r="BK1575" s="4"/>
      <c r="BL1575" s="4"/>
      <c r="BM1575" s="4"/>
      <c r="BN1575" s="4"/>
      <c r="BO1575" s="4"/>
      <c r="BP1575" s="4"/>
      <c r="BQ1575" s="4"/>
      <c r="BR1575" s="4"/>
      <c r="BS1575" s="4"/>
      <c r="BT1575" s="4"/>
      <c r="BU1575" s="4"/>
      <c r="BV1575" s="4"/>
      <c r="BW1575" s="4"/>
      <c r="BX1575" s="4"/>
      <c r="BY1575" s="4"/>
      <c r="BZ1575" s="4"/>
      <c r="CA1575" s="4"/>
      <c r="CB1575" s="4"/>
      <c r="CC1575" s="4"/>
      <c r="CD1575" s="4"/>
      <c r="CE1575" s="4"/>
      <c r="CF1575" s="4"/>
      <c r="CG1575" s="4"/>
      <c r="CH1575" s="4"/>
      <c r="CI1575" s="4"/>
      <c r="CJ1575" s="4"/>
      <c r="CK1575" s="4"/>
      <c r="CL1575" s="4"/>
      <c r="CM1575" s="4"/>
      <c r="CN1575" s="4"/>
      <c r="CO1575" s="4"/>
      <c r="CP1575" s="4"/>
      <c r="CQ1575" s="4"/>
      <c r="CR1575" s="4"/>
      <c r="CS1575" s="4"/>
      <c r="CT1575" s="4"/>
      <c r="CU1575" s="4"/>
      <c r="CV1575" s="4"/>
      <c r="CW1575" s="4"/>
      <c r="CX1575" s="4"/>
      <c r="CY1575" s="4"/>
      <c r="CZ1575" s="4"/>
      <c r="DA1575" s="4"/>
      <c r="DB1575" s="4"/>
      <c r="DC1575" s="4"/>
      <c r="DD1575" s="4"/>
      <c r="DE1575" s="4"/>
      <c r="DF1575" s="4"/>
      <c r="DG1575" s="4"/>
      <c r="DH1575" s="4"/>
      <c r="DI1575" s="4"/>
      <c r="DJ1575" s="4"/>
      <c r="DK1575" s="4"/>
      <c r="DL1575" s="4"/>
      <c r="DM1575" s="4"/>
      <c r="DN1575" s="4"/>
      <c r="DO1575" s="4"/>
      <c r="DP1575" s="4"/>
      <c r="DQ1575" s="4"/>
      <c r="DR1575" s="4"/>
    </row>
    <row r="1576" spans="1:122" x14ac:dyDescent="0.25">
      <c r="A1576" s="2" t="s">
        <v>15</v>
      </c>
      <c r="B1576" s="2" t="str">
        <f>"FES1162768002"</f>
        <v>FES1162768002</v>
      </c>
      <c r="C1576" s="2" t="s">
        <v>1084</v>
      </c>
      <c r="D1576" s="2">
        <v>1</v>
      </c>
      <c r="E1576" s="2" t="str">
        <f>"2170750413"</f>
        <v>2170750413</v>
      </c>
      <c r="F1576" s="2" t="s">
        <v>205</v>
      </c>
      <c r="G1576" s="2" t="s">
        <v>206</v>
      </c>
      <c r="H1576" s="2" t="s">
        <v>1034</v>
      </c>
      <c r="I1576" s="2" t="s">
        <v>1238</v>
      </c>
      <c r="J1576" s="2" t="s">
        <v>1239</v>
      </c>
      <c r="K1576" s="2" t="s">
        <v>1190</v>
      </c>
      <c r="L1576" s="3">
        <v>0.41666666666666669</v>
      </c>
      <c r="M1576" s="2" t="s">
        <v>1284</v>
      </c>
      <c r="N1576" s="2" t="s">
        <v>500</v>
      </c>
      <c r="O1576" s="2"/>
      <c r="P1576" s="4"/>
      <c r="Q1576" s="4"/>
      <c r="R1576" s="4"/>
      <c r="S1576" s="4"/>
      <c r="T1576" s="4"/>
      <c r="U1576" s="4"/>
      <c r="V1576" s="4"/>
      <c r="W1576" s="4"/>
      <c r="X1576" s="4"/>
      <c r="Y1576" s="4"/>
      <c r="Z1576" s="4"/>
      <c r="AA1576" s="4"/>
      <c r="AB1576" s="4"/>
      <c r="AC1576" s="4"/>
      <c r="AD1576" s="4"/>
      <c r="AE1576" s="4"/>
      <c r="AF1576" s="4"/>
      <c r="AG1576" s="4"/>
      <c r="AH1576" s="4"/>
      <c r="AI1576" s="4"/>
      <c r="AJ1576" s="4"/>
      <c r="AK1576" s="4"/>
      <c r="AL1576" s="4"/>
      <c r="AM1576" s="4"/>
      <c r="AN1576" s="4"/>
      <c r="AO1576" s="4"/>
      <c r="AP1576" s="4"/>
      <c r="AQ1576" s="4"/>
      <c r="AR1576" s="4"/>
      <c r="AS1576" s="4"/>
      <c r="AT1576" s="4"/>
      <c r="AU1576" s="4"/>
      <c r="AV1576" s="4"/>
      <c r="AW1576" s="4"/>
      <c r="AX1576" s="4"/>
      <c r="AY1576" s="4"/>
      <c r="AZ1576" s="4"/>
      <c r="BA1576" s="4"/>
      <c r="BB1576" s="4"/>
      <c r="BC1576" s="4"/>
      <c r="BD1576" s="4"/>
      <c r="BE1576" s="4"/>
      <c r="BF1576" s="4"/>
      <c r="BG1576" s="4"/>
      <c r="BH1576" s="4"/>
      <c r="BI1576" s="4"/>
      <c r="BJ1576" s="4"/>
      <c r="BK1576" s="4"/>
      <c r="BL1576" s="4"/>
      <c r="BM1576" s="4"/>
      <c r="BN1576" s="4"/>
      <c r="BO1576" s="4"/>
      <c r="BP1576" s="4"/>
      <c r="BQ1576" s="4"/>
      <c r="BR1576" s="4"/>
      <c r="BS1576" s="4"/>
      <c r="BT1576" s="4"/>
      <c r="BU1576" s="4"/>
      <c r="BV1576" s="4"/>
      <c r="BW1576" s="4"/>
      <c r="BX1576" s="4"/>
      <c r="BY1576" s="4"/>
      <c r="BZ1576" s="4"/>
      <c r="CA1576" s="4"/>
      <c r="CB1576" s="4"/>
      <c r="CC1576" s="4"/>
      <c r="CD1576" s="4"/>
      <c r="CE1576" s="4"/>
      <c r="CF1576" s="4"/>
      <c r="CG1576" s="4"/>
      <c r="CH1576" s="4"/>
      <c r="CI1576" s="4"/>
      <c r="CJ1576" s="4"/>
      <c r="CK1576" s="4"/>
      <c r="CL1576" s="4"/>
      <c r="CM1576" s="4"/>
      <c r="CN1576" s="4"/>
      <c r="CO1576" s="4"/>
      <c r="CP1576" s="4"/>
      <c r="CQ1576" s="4"/>
      <c r="CR1576" s="4"/>
      <c r="CS1576" s="4"/>
      <c r="CT1576" s="4"/>
      <c r="CU1576" s="4"/>
      <c r="CV1576" s="4"/>
      <c r="CW1576" s="4"/>
      <c r="CX1576" s="4"/>
      <c r="CY1576" s="4"/>
      <c r="CZ1576" s="4"/>
      <c r="DA1576" s="4"/>
      <c r="DB1576" s="4"/>
      <c r="DC1576" s="4"/>
      <c r="DD1576" s="4"/>
      <c r="DE1576" s="4"/>
      <c r="DF1576" s="4"/>
      <c r="DG1576" s="4"/>
      <c r="DH1576" s="4"/>
      <c r="DI1576" s="4"/>
      <c r="DJ1576" s="4"/>
      <c r="DK1576" s="4"/>
      <c r="DL1576" s="4"/>
      <c r="DM1576" s="4"/>
      <c r="DN1576" s="4"/>
      <c r="DO1576" s="4"/>
      <c r="DP1576" s="4"/>
      <c r="DQ1576" s="4"/>
      <c r="DR1576" s="4"/>
    </row>
    <row r="1577" spans="1:122" x14ac:dyDescent="0.25">
      <c r="A1577" s="2" t="s">
        <v>15</v>
      </c>
      <c r="B1577" s="2" t="str">
        <f>"FES1162769384"</f>
        <v>FES1162769384</v>
      </c>
      <c r="C1577" s="2" t="s">
        <v>1084</v>
      </c>
      <c r="D1577" s="2">
        <v>1</v>
      </c>
      <c r="E1577" s="2" t="str">
        <f>"2170756516"</f>
        <v>2170756516</v>
      </c>
      <c r="F1577" s="2" t="s">
        <v>17</v>
      </c>
      <c r="G1577" s="2" t="s">
        <v>18</v>
      </c>
      <c r="H1577" s="2" t="s">
        <v>33</v>
      </c>
      <c r="I1577" s="2" t="s">
        <v>34</v>
      </c>
      <c r="J1577" s="2" t="s">
        <v>317</v>
      </c>
      <c r="K1577" s="2" t="s">
        <v>1190</v>
      </c>
      <c r="L1577" s="3">
        <v>0.43333333333333335</v>
      </c>
      <c r="M1577" s="2" t="s">
        <v>716</v>
      </c>
      <c r="N1577" s="2" t="s">
        <v>500</v>
      </c>
      <c r="O1577" s="2"/>
      <c r="P1577" s="4"/>
      <c r="Q1577" s="4"/>
      <c r="R1577" s="4"/>
      <c r="S1577" s="4"/>
      <c r="T1577" s="4"/>
      <c r="U1577" s="4"/>
      <c r="V1577" s="4"/>
      <c r="W1577" s="4"/>
      <c r="X1577" s="4"/>
      <c r="Y1577" s="4"/>
      <c r="Z1577" s="4"/>
      <c r="AA1577" s="4"/>
      <c r="AB1577" s="4"/>
      <c r="AC1577" s="4"/>
      <c r="AD1577" s="4"/>
      <c r="AE1577" s="4"/>
      <c r="AF1577" s="4"/>
      <c r="AG1577" s="4"/>
      <c r="AH1577" s="4"/>
      <c r="AI1577" s="4"/>
      <c r="AJ1577" s="4"/>
      <c r="AK1577" s="4"/>
      <c r="AL1577" s="4"/>
      <c r="AM1577" s="4"/>
      <c r="AN1577" s="4"/>
      <c r="AO1577" s="4"/>
      <c r="AP1577" s="4"/>
      <c r="AQ1577" s="4"/>
      <c r="AR1577" s="4"/>
      <c r="AS1577" s="4"/>
      <c r="AT1577" s="4"/>
      <c r="AU1577" s="4"/>
      <c r="AV1577" s="4"/>
      <c r="AW1577" s="4"/>
      <c r="AX1577" s="4"/>
      <c r="AY1577" s="4"/>
      <c r="AZ1577" s="4"/>
      <c r="BA1577" s="4"/>
      <c r="BB1577" s="4"/>
      <c r="BC1577" s="4"/>
      <c r="BD1577" s="4"/>
      <c r="BE1577" s="4"/>
      <c r="BF1577" s="4"/>
      <c r="BG1577" s="4"/>
      <c r="BH1577" s="4"/>
      <c r="BI1577" s="4"/>
      <c r="BJ1577" s="4"/>
      <c r="BK1577" s="4"/>
      <c r="BL1577" s="4"/>
      <c r="BM1577" s="4"/>
      <c r="BN1577" s="4"/>
      <c r="BO1577" s="4"/>
      <c r="BP1577" s="4"/>
      <c r="BQ1577" s="4"/>
      <c r="BR1577" s="4"/>
      <c r="BS1577" s="4"/>
      <c r="BT1577" s="4"/>
      <c r="BU1577" s="4"/>
      <c r="BV1577" s="4"/>
      <c r="BW1577" s="4"/>
      <c r="BX1577" s="4"/>
      <c r="BY1577" s="4"/>
      <c r="BZ1577" s="4"/>
      <c r="CA1577" s="4"/>
      <c r="CB1577" s="4"/>
      <c r="CC1577" s="4"/>
      <c r="CD1577" s="4"/>
      <c r="CE1577" s="4"/>
      <c r="CF1577" s="4"/>
      <c r="CG1577" s="4"/>
      <c r="CH1577" s="4"/>
      <c r="CI1577" s="4"/>
      <c r="CJ1577" s="4"/>
      <c r="CK1577" s="4"/>
      <c r="CL1577" s="4"/>
      <c r="CM1577" s="4"/>
      <c r="CN1577" s="4"/>
      <c r="CO1577" s="4"/>
      <c r="CP1577" s="4"/>
      <c r="CQ1577" s="4"/>
      <c r="CR1577" s="4"/>
      <c r="CS1577" s="4"/>
      <c r="CT1577" s="4"/>
      <c r="CU1577" s="4"/>
      <c r="CV1577" s="4"/>
      <c r="CW1577" s="4"/>
      <c r="CX1577" s="4"/>
      <c r="CY1577" s="4"/>
      <c r="CZ1577" s="4"/>
      <c r="DA1577" s="4"/>
      <c r="DB1577" s="4"/>
      <c r="DC1577" s="4"/>
      <c r="DD1577" s="4"/>
      <c r="DE1577" s="4"/>
      <c r="DF1577" s="4"/>
      <c r="DG1577" s="4"/>
      <c r="DH1577" s="4"/>
      <c r="DI1577" s="4"/>
      <c r="DJ1577" s="4"/>
      <c r="DK1577" s="4"/>
      <c r="DL1577" s="4"/>
      <c r="DM1577" s="4"/>
      <c r="DN1577" s="4"/>
      <c r="DO1577" s="4"/>
      <c r="DP1577" s="4"/>
      <c r="DQ1577" s="4"/>
      <c r="DR1577" s="4"/>
    </row>
    <row r="1578" spans="1:122" x14ac:dyDescent="0.25">
      <c r="A1578" s="2" t="s">
        <v>15</v>
      </c>
      <c r="B1578" s="2" t="str">
        <f>"009939664736"</f>
        <v>009939664736</v>
      </c>
      <c r="C1578" s="2" t="s">
        <v>1084</v>
      </c>
      <c r="D1578" s="2">
        <v>1</v>
      </c>
      <c r="E1578" s="2" t="str">
        <f>"082 443 0197"</f>
        <v>082 443 0197</v>
      </c>
      <c r="F1578" s="2" t="s">
        <v>17</v>
      </c>
      <c r="G1578" s="2" t="s">
        <v>19</v>
      </c>
      <c r="H1578" s="2" t="s">
        <v>18</v>
      </c>
      <c r="I1578" s="2" t="s">
        <v>46</v>
      </c>
      <c r="J1578" s="2" t="s">
        <v>410</v>
      </c>
      <c r="K1578" s="2" t="s">
        <v>1190</v>
      </c>
      <c r="L1578" s="3">
        <v>0.38055555555555554</v>
      </c>
      <c r="M1578" s="2" t="s">
        <v>1253</v>
      </c>
      <c r="N1578" s="2" t="s">
        <v>500</v>
      </c>
      <c r="O1578" s="2"/>
      <c r="P1578" s="4"/>
      <c r="Q1578" s="4"/>
      <c r="R1578" s="4"/>
      <c r="S1578" s="4"/>
      <c r="T1578" s="4"/>
      <c r="U1578" s="4"/>
      <c r="V1578" s="4"/>
      <c r="W1578" s="4"/>
      <c r="X1578" s="4"/>
      <c r="Y1578" s="4"/>
      <c r="Z1578" s="4"/>
      <c r="AA1578" s="4"/>
      <c r="AB1578" s="4"/>
      <c r="AC1578" s="4"/>
      <c r="AD1578" s="4"/>
      <c r="AE1578" s="4"/>
      <c r="AF1578" s="4"/>
      <c r="AG1578" s="4"/>
      <c r="AH1578" s="4"/>
      <c r="AI1578" s="4"/>
      <c r="AJ1578" s="4"/>
      <c r="AK1578" s="4"/>
      <c r="AL1578" s="4"/>
      <c r="AM1578" s="4"/>
      <c r="AN1578" s="4"/>
      <c r="AO1578" s="4"/>
      <c r="AP1578" s="4"/>
      <c r="AQ1578" s="4"/>
      <c r="AR1578" s="4"/>
      <c r="AS1578" s="4"/>
      <c r="AT1578" s="4"/>
      <c r="AU1578" s="4"/>
      <c r="AV1578" s="4"/>
      <c r="AW1578" s="4"/>
      <c r="AX1578" s="4"/>
      <c r="AY1578" s="4"/>
      <c r="AZ1578" s="4"/>
      <c r="BA1578" s="4"/>
      <c r="BB1578" s="4"/>
      <c r="BC1578" s="4"/>
      <c r="BD1578" s="4"/>
      <c r="BE1578" s="4"/>
      <c r="BF1578" s="4"/>
      <c r="BG1578" s="4"/>
      <c r="BH1578" s="4"/>
      <c r="BI1578" s="4"/>
      <c r="BJ1578" s="4"/>
      <c r="BK1578" s="4"/>
      <c r="BL1578" s="4"/>
      <c r="BM1578" s="4"/>
      <c r="BN1578" s="4"/>
      <c r="BO1578" s="4"/>
      <c r="BP1578" s="4"/>
      <c r="BQ1578" s="4"/>
      <c r="BR1578" s="4"/>
      <c r="BS1578" s="4"/>
      <c r="BT1578" s="4"/>
      <c r="BU1578" s="4"/>
      <c r="BV1578" s="4"/>
      <c r="BW1578" s="4"/>
      <c r="BX1578" s="4"/>
      <c r="BY1578" s="4"/>
      <c r="BZ1578" s="4"/>
      <c r="CA1578" s="4"/>
      <c r="CB1578" s="4"/>
      <c r="CC1578" s="4"/>
      <c r="CD1578" s="4"/>
      <c r="CE1578" s="4"/>
      <c r="CF1578" s="4"/>
      <c r="CG1578" s="4"/>
      <c r="CH1578" s="4"/>
      <c r="CI1578" s="4"/>
      <c r="CJ1578" s="4"/>
      <c r="CK1578" s="4"/>
      <c r="CL1578" s="4"/>
      <c r="CM1578" s="4"/>
      <c r="CN1578" s="4"/>
      <c r="CO1578" s="4"/>
      <c r="CP1578" s="4"/>
      <c r="CQ1578" s="4"/>
      <c r="CR1578" s="4"/>
      <c r="CS1578" s="4"/>
      <c r="CT1578" s="4"/>
      <c r="CU1578" s="4"/>
      <c r="CV1578" s="4"/>
      <c r="CW1578" s="4"/>
      <c r="CX1578" s="4"/>
      <c r="CY1578" s="4"/>
      <c r="CZ1578" s="4"/>
      <c r="DA1578" s="4"/>
      <c r="DB1578" s="4"/>
      <c r="DC1578" s="4"/>
      <c r="DD1578" s="4"/>
      <c r="DE1578" s="4"/>
      <c r="DF1578" s="4"/>
      <c r="DG1578" s="4"/>
      <c r="DH1578" s="4"/>
      <c r="DI1578" s="4"/>
      <c r="DJ1578" s="4"/>
      <c r="DK1578" s="4"/>
      <c r="DL1578" s="4"/>
      <c r="DM1578" s="4"/>
      <c r="DN1578" s="4"/>
      <c r="DO1578" s="4"/>
      <c r="DP1578" s="4"/>
      <c r="DQ1578" s="4"/>
      <c r="DR1578" s="4"/>
    </row>
    <row r="1579" spans="1:122" s="12" customFormat="1" x14ac:dyDescent="0.25">
      <c r="A1579" s="5" t="s">
        <v>15</v>
      </c>
      <c r="B1579" s="5" t="str">
        <f>"FES1162769727"</f>
        <v>FES1162769727</v>
      </c>
      <c r="C1579" s="5" t="s">
        <v>1190</v>
      </c>
      <c r="D1579" s="5">
        <v>1</v>
      </c>
      <c r="E1579" s="5" t="str">
        <f>"2170756892"</f>
        <v>2170756892</v>
      </c>
      <c r="F1579" s="5" t="s">
        <v>17</v>
      </c>
      <c r="G1579" s="5" t="s">
        <v>18</v>
      </c>
      <c r="H1579" s="5" t="s">
        <v>19</v>
      </c>
      <c r="I1579" s="5" t="s">
        <v>20</v>
      </c>
      <c r="J1579" s="5" t="s">
        <v>1285</v>
      </c>
      <c r="K1579" s="5" t="s">
        <v>1353</v>
      </c>
      <c r="L1579" s="9">
        <v>0.4513888888888889</v>
      </c>
      <c r="M1579" s="5" t="s">
        <v>1823</v>
      </c>
      <c r="N1579" s="5" t="s">
        <v>500</v>
      </c>
      <c r="O1579" s="5"/>
      <c r="P1579" s="4"/>
      <c r="Q1579" s="4"/>
      <c r="R1579" s="4"/>
      <c r="S1579" s="4"/>
      <c r="T1579" s="4"/>
      <c r="U1579" s="4"/>
      <c r="V1579" s="4"/>
      <c r="W1579" s="4"/>
      <c r="X1579" s="4"/>
      <c r="Y1579" s="4"/>
      <c r="Z1579" s="4"/>
      <c r="AA1579" s="4"/>
      <c r="AB1579" s="4"/>
      <c r="AC1579" s="4"/>
      <c r="AD1579" s="4"/>
      <c r="AE1579" s="4"/>
      <c r="AF1579" s="4"/>
      <c r="AG1579" s="4"/>
      <c r="AH1579" s="4"/>
      <c r="AI1579" s="4"/>
      <c r="AJ1579" s="4"/>
      <c r="AK1579" s="4"/>
      <c r="AL1579" s="4"/>
      <c r="AM1579" s="4"/>
      <c r="AN1579" s="4"/>
      <c r="AO1579" s="4"/>
      <c r="AP1579" s="4"/>
      <c r="AQ1579" s="4"/>
      <c r="AR1579" s="4"/>
      <c r="AS1579" s="4"/>
      <c r="AT1579" s="4"/>
      <c r="AU1579" s="4"/>
      <c r="AV1579" s="4"/>
      <c r="AW1579" s="4"/>
      <c r="AX1579" s="4"/>
      <c r="AY1579" s="4"/>
      <c r="AZ1579" s="4"/>
      <c r="BA1579" s="4"/>
      <c r="BB1579" s="4"/>
      <c r="BC1579" s="4"/>
      <c r="BD1579" s="4"/>
      <c r="BE1579" s="4"/>
      <c r="BF1579" s="4"/>
      <c r="BG1579" s="4"/>
      <c r="BH1579" s="4"/>
      <c r="BI1579" s="4"/>
      <c r="BJ1579" s="4"/>
      <c r="BK1579" s="4"/>
      <c r="BL1579" s="4"/>
      <c r="BM1579" s="4"/>
      <c r="BN1579" s="4"/>
      <c r="BO1579" s="4"/>
      <c r="BP1579" s="4"/>
      <c r="BQ1579" s="4"/>
      <c r="BR1579" s="4"/>
      <c r="BS1579" s="4"/>
      <c r="BT1579" s="4"/>
      <c r="BU1579" s="4"/>
      <c r="BV1579" s="4"/>
      <c r="BW1579" s="4"/>
      <c r="BX1579" s="4"/>
      <c r="BY1579" s="4"/>
      <c r="BZ1579" s="4"/>
      <c r="CA1579" s="4"/>
      <c r="CB1579" s="4"/>
      <c r="CC1579" s="4"/>
      <c r="CD1579" s="4"/>
      <c r="CE1579" s="4"/>
      <c r="CF1579" s="4"/>
      <c r="CG1579" s="4"/>
      <c r="CH1579" s="4"/>
      <c r="CI1579" s="4"/>
      <c r="CJ1579" s="4"/>
      <c r="CK1579" s="4"/>
      <c r="CL1579" s="4"/>
      <c r="CM1579" s="4"/>
      <c r="CN1579" s="4"/>
      <c r="CO1579" s="4"/>
      <c r="CP1579" s="4"/>
      <c r="CQ1579" s="4"/>
      <c r="CR1579" s="4"/>
      <c r="CS1579" s="4"/>
      <c r="CT1579" s="4"/>
      <c r="CU1579" s="4"/>
      <c r="CV1579" s="4"/>
      <c r="CW1579" s="4"/>
      <c r="CX1579" s="4"/>
      <c r="CY1579" s="4"/>
      <c r="CZ1579" s="4"/>
      <c r="DA1579" s="4"/>
      <c r="DB1579" s="4"/>
      <c r="DC1579" s="4"/>
      <c r="DD1579" s="4"/>
      <c r="DE1579" s="4"/>
      <c r="DF1579" s="4"/>
      <c r="DG1579" s="4"/>
      <c r="DH1579" s="4"/>
      <c r="DI1579" s="4"/>
      <c r="DJ1579" s="4"/>
      <c r="DK1579" s="4"/>
      <c r="DL1579" s="4"/>
      <c r="DM1579" s="4"/>
      <c r="DN1579" s="4"/>
      <c r="DO1579" s="4"/>
      <c r="DP1579" s="4"/>
      <c r="DQ1579" s="4"/>
      <c r="DR1579" s="4"/>
    </row>
    <row r="1580" spans="1:122" x14ac:dyDescent="0.25">
      <c r="A1580" s="2" t="s">
        <v>15</v>
      </c>
      <c r="B1580" s="2" t="str">
        <f>"FES1162769763"</f>
        <v>FES1162769763</v>
      </c>
      <c r="C1580" s="2" t="s">
        <v>1190</v>
      </c>
      <c r="D1580" s="2">
        <v>1</v>
      </c>
      <c r="E1580" s="2" t="str">
        <f>"2170756983"</f>
        <v>2170756983</v>
      </c>
      <c r="F1580" s="2" t="s">
        <v>17</v>
      </c>
      <c r="G1580" s="2" t="s">
        <v>18</v>
      </c>
      <c r="H1580" s="2" t="s">
        <v>78</v>
      </c>
      <c r="I1580" s="2" t="s">
        <v>79</v>
      </c>
      <c r="J1580" s="2" t="s">
        <v>113</v>
      </c>
      <c r="K1580" s="2" t="s">
        <v>1266</v>
      </c>
      <c r="L1580" s="3">
        <v>0.40625</v>
      </c>
      <c r="M1580" s="2" t="s">
        <v>1331</v>
      </c>
      <c r="N1580" s="2" t="s">
        <v>500</v>
      </c>
      <c r="O1580" s="2"/>
      <c r="P1580" s="4"/>
      <c r="Q1580" s="4"/>
      <c r="R1580" s="4"/>
      <c r="S1580" s="4"/>
      <c r="T1580" s="4"/>
      <c r="U1580" s="4"/>
      <c r="V1580" s="4"/>
      <c r="W1580" s="4"/>
      <c r="X1580" s="4"/>
      <c r="Y1580" s="4"/>
      <c r="Z1580" s="4"/>
      <c r="AA1580" s="4"/>
      <c r="AB1580" s="4"/>
      <c r="AC1580" s="4"/>
      <c r="AD1580" s="4"/>
      <c r="AE1580" s="4"/>
      <c r="AF1580" s="4"/>
      <c r="AG1580" s="4"/>
      <c r="AH1580" s="4"/>
      <c r="AI1580" s="4"/>
      <c r="AJ1580" s="4"/>
      <c r="AK1580" s="4"/>
      <c r="AL1580" s="4"/>
      <c r="AM1580" s="4"/>
      <c r="AN1580" s="4"/>
      <c r="AO1580" s="4"/>
      <c r="AP1580" s="4"/>
      <c r="AQ1580" s="4"/>
      <c r="AR1580" s="4"/>
      <c r="AS1580" s="4"/>
      <c r="AT1580" s="4"/>
      <c r="AU1580" s="4"/>
      <c r="AV1580" s="4"/>
      <c r="AW1580" s="4"/>
      <c r="AX1580" s="4"/>
      <c r="AY1580" s="4"/>
      <c r="AZ1580" s="4"/>
      <c r="BA1580" s="4"/>
      <c r="BB1580" s="4"/>
      <c r="BC1580" s="4"/>
      <c r="BD1580" s="4"/>
      <c r="BE1580" s="4"/>
      <c r="BF1580" s="4"/>
      <c r="BG1580" s="4"/>
      <c r="BH1580" s="4"/>
      <c r="BI1580" s="4"/>
      <c r="BJ1580" s="4"/>
      <c r="BK1580" s="4"/>
      <c r="BL1580" s="4"/>
      <c r="BM1580" s="4"/>
      <c r="BN1580" s="4"/>
      <c r="BO1580" s="4"/>
      <c r="BP1580" s="4"/>
      <c r="BQ1580" s="4"/>
      <c r="BR1580" s="4"/>
      <c r="BS1580" s="4"/>
      <c r="BT1580" s="4"/>
      <c r="BU1580" s="4"/>
      <c r="BV1580" s="4"/>
      <c r="BW1580" s="4"/>
      <c r="BX1580" s="4"/>
      <c r="BY1580" s="4"/>
      <c r="BZ1580" s="4"/>
      <c r="CA1580" s="4"/>
      <c r="CB1580" s="4"/>
      <c r="CC1580" s="4"/>
      <c r="CD1580" s="4"/>
      <c r="CE1580" s="4"/>
      <c r="CF1580" s="4"/>
      <c r="CG1580" s="4"/>
      <c r="CH1580" s="4"/>
      <c r="CI1580" s="4"/>
      <c r="CJ1580" s="4"/>
      <c r="CK1580" s="4"/>
      <c r="CL1580" s="4"/>
      <c r="CM1580" s="4"/>
      <c r="CN1580" s="4"/>
      <c r="CO1580" s="4"/>
      <c r="CP1580" s="4"/>
      <c r="CQ1580" s="4"/>
      <c r="CR1580" s="4"/>
      <c r="CS1580" s="4"/>
      <c r="CT1580" s="4"/>
      <c r="CU1580" s="4"/>
      <c r="CV1580" s="4"/>
      <c r="CW1580" s="4"/>
      <c r="CX1580" s="4"/>
      <c r="CY1580" s="4"/>
      <c r="CZ1580" s="4"/>
      <c r="DA1580" s="4"/>
      <c r="DB1580" s="4"/>
      <c r="DC1580" s="4"/>
      <c r="DD1580" s="4"/>
      <c r="DE1580" s="4"/>
      <c r="DF1580" s="4"/>
      <c r="DG1580" s="4"/>
      <c r="DH1580" s="4"/>
      <c r="DI1580" s="4"/>
      <c r="DJ1580" s="4"/>
      <c r="DK1580" s="4"/>
      <c r="DL1580" s="4"/>
      <c r="DM1580" s="4"/>
      <c r="DN1580" s="4"/>
      <c r="DO1580" s="4"/>
      <c r="DP1580" s="4"/>
      <c r="DQ1580" s="4"/>
      <c r="DR1580" s="4"/>
    </row>
    <row r="1581" spans="1:122" x14ac:dyDescent="0.25">
      <c r="A1581" s="2" t="s">
        <v>15</v>
      </c>
      <c r="B1581" s="2" t="str">
        <f>"FES1162769663"</f>
        <v>FES1162769663</v>
      </c>
      <c r="C1581" s="2" t="s">
        <v>1190</v>
      </c>
      <c r="D1581" s="2">
        <v>1</v>
      </c>
      <c r="E1581" s="2" t="str">
        <f>"2170756765"</f>
        <v>2170756765</v>
      </c>
      <c r="F1581" s="2" t="s">
        <v>17</v>
      </c>
      <c r="G1581" s="2" t="s">
        <v>18</v>
      </c>
      <c r="H1581" s="2" t="s">
        <v>19</v>
      </c>
      <c r="I1581" s="2" t="s">
        <v>114</v>
      </c>
      <c r="J1581" s="2" t="s">
        <v>66</v>
      </c>
      <c r="K1581" s="2" t="s">
        <v>1266</v>
      </c>
      <c r="L1581" s="3">
        <v>0.56041666666666667</v>
      </c>
      <c r="M1581" s="2" t="s">
        <v>267</v>
      </c>
      <c r="N1581" s="2" t="s">
        <v>500</v>
      </c>
      <c r="O1581" s="2"/>
      <c r="P1581" s="4"/>
      <c r="Q1581" s="4"/>
      <c r="R1581" s="4"/>
      <c r="S1581" s="4"/>
      <c r="T1581" s="4"/>
      <c r="U1581" s="4"/>
      <c r="V1581" s="4"/>
      <c r="W1581" s="4"/>
      <c r="X1581" s="4"/>
      <c r="Y1581" s="4"/>
      <c r="Z1581" s="4"/>
      <c r="AA1581" s="4"/>
      <c r="AB1581" s="4"/>
      <c r="AC1581" s="4"/>
      <c r="AD1581" s="4"/>
      <c r="AE1581" s="4"/>
      <c r="AF1581" s="4"/>
      <c r="AG1581" s="4"/>
      <c r="AH1581" s="4"/>
      <c r="AI1581" s="4"/>
      <c r="AJ1581" s="4"/>
      <c r="AK1581" s="4"/>
      <c r="AL1581" s="4"/>
      <c r="AM1581" s="4"/>
      <c r="AN1581" s="4"/>
      <c r="AO1581" s="4"/>
      <c r="AP1581" s="4"/>
      <c r="AQ1581" s="4"/>
      <c r="AR1581" s="4"/>
      <c r="AS1581" s="4"/>
      <c r="AT1581" s="4"/>
      <c r="AU1581" s="4"/>
      <c r="AV1581" s="4"/>
      <c r="AW1581" s="4"/>
      <c r="AX1581" s="4"/>
      <c r="AY1581" s="4"/>
      <c r="AZ1581" s="4"/>
      <c r="BA1581" s="4"/>
      <c r="BB1581" s="4"/>
      <c r="BC1581" s="4"/>
      <c r="BD1581" s="4"/>
      <c r="BE1581" s="4"/>
      <c r="BF1581" s="4"/>
      <c r="BG1581" s="4"/>
      <c r="BH1581" s="4"/>
      <c r="BI1581" s="4"/>
      <c r="BJ1581" s="4"/>
      <c r="BK1581" s="4"/>
      <c r="BL1581" s="4"/>
      <c r="BM1581" s="4"/>
      <c r="BN1581" s="4"/>
      <c r="BO1581" s="4"/>
      <c r="BP1581" s="4"/>
      <c r="BQ1581" s="4"/>
      <c r="BR1581" s="4"/>
      <c r="BS1581" s="4"/>
      <c r="BT1581" s="4"/>
      <c r="BU1581" s="4"/>
      <c r="BV1581" s="4"/>
      <c r="BW1581" s="4"/>
      <c r="BX1581" s="4"/>
      <c r="BY1581" s="4"/>
      <c r="BZ1581" s="4"/>
      <c r="CA1581" s="4"/>
      <c r="CB1581" s="4"/>
      <c r="CC1581" s="4"/>
      <c r="CD1581" s="4"/>
      <c r="CE1581" s="4"/>
      <c r="CF1581" s="4"/>
      <c r="CG1581" s="4"/>
      <c r="CH1581" s="4"/>
      <c r="CI1581" s="4"/>
      <c r="CJ1581" s="4"/>
      <c r="CK1581" s="4"/>
      <c r="CL1581" s="4"/>
      <c r="CM1581" s="4"/>
      <c r="CN1581" s="4"/>
      <c r="CO1581" s="4"/>
      <c r="CP1581" s="4"/>
      <c r="CQ1581" s="4"/>
      <c r="CR1581" s="4"/>
      <c r="CS1581" s="4"/>
      <c r="CT1581" s="4"/>
      <c r="CU1581" s="4"/>
      <c r="CV1581" s="4"/>
      <c r="CW1581" s="4"/>
      <c r="CX1581" s="4"/>
      <c r="CY1581" s="4"/>
      <c r="CZ1581" s="4"/>
      <c r="DA1581" s="4"/>
      <c r="DB1581" s="4"/>
      <c r="DC1581" s="4"/>
      <c r="DD1581" s="4"/>
      <c r="DE1581" s="4"/>
      <c r="DF1581" s="4"/>
      <c r="DG1581" s="4"/>
      <c r="DH1581" s="4"/>
      <c r="DI1581" s="4"/>
      <c r="DJ1581" s="4"/>
      <c r="DK1581" s="4"/>
      <c r="DL1581" s="4"/>
      <c r="DM1581" s="4"/>
      <c r="DN1581" s="4"/>
      <c r="DO1581" s="4"/>
      <c r="DP1581" s="4"/>
      <c r="DQ1581" s="4"/>
      <c r="DR1581" s="4"/>
    </row>
    <row r="1582" spans="1:122" x14ac:dyDescent="0.25">
      <c r="A1582" s="2" t="s">
        <v>15</v>
      </c>
      <c r="B1582" s="2" t="str">
        <f>"FES1162769827"</f>
        <v>FES1162769827</v>
      </c>
      <c r="C1582" s="2" t="s">
        <v>1190</v>
      </c>
      <c r="D1582" s="2">
        <v>1</v>
      </c>
      <c r="E1582" s="2" t="str">
        <f>"2170757087"</f>
        <v>2170757087</v>
      </c>
      <c r="F1582" s="2" t="s">
        <v>17</v>
      </c>
      <c r="G1582" s="2" t="s">
        <v>18</v>
      </c>
      <c r="H1582" s="2" t="s">
        <v>25</v>
      </c>
      <c r="I1582" s="2" t="s">
        <v>361</v>
      </c>
      <c r="J1582" s="2" t="s">
        <v>280</v>
      </c>
      <c r="K1582" s="2" t="s">
        <v>1266</v>
      </c>
      <c r="L1582" s="3">
        <v>0.41666666666666669</v>
      </c>
      <c r="M1582" s="2" t="s">
        <v>1332</v>
      </c>
      <c r="N1582" s="2" t="s">
        <v>500</v>
      </c>
      <c r="O1582" s="2"/>
      <c r="P1582" s="4"/>
      <c r="Q1582" s="4"/>
      <c r="R1582" s="4"/>
      <c r="S1582" s="4"/>
      <c r="T1582" s="4"/>
      <c r="U1582" s="4"/>
      <c r="V1582" s="4"/>
      <c r="W1582" s="4"/>
      <c r="X1582" s="4"/>
      <c r="Y1582" s="4"/>
      <c r="Z1582" s="4"/>
      <c r="AA1582" s="4"/>
      <c r="AB1582" s="4"/>
      <c r="AC1582" s="4"/>
      <c r="AD1582" s="4"/>
      <c r="AE1582" s="4"/>
      <c r="AF1582" s="4"/>
      <c r="AG1582" s="4"/>
      <c r="AH1582" s="4"/>
      <c r="AI1582" s="4"/>
      <c r="AJ1582" s="4"/>
      <c r="AK1582" s="4"/>
      <c r="AL1582" s="4"/>
      <c r="AM1582" s="4"/>
      <c r="AN1582" s="4"/>
      <c r="AO1582" s="4"/>
      <c r="AP1582" s="4"/>
      <c r="AQ1582" s="4"/>
      <c r="AR1582" s="4"/>
      <c r="AS1582" s="4"/>
      <c r="AT1582" s="4"/>
      <c r="AU1582" s="4"/>
      <c r="AV1582" s="4"/>
      <c r="AW1582" s="4"/>
      <c r="AX1582" s="4"/>
      <c r="AY1582" s="4"/>
      <c r="AZ1582" s="4"/>
      <c r="BA1582" s="4"/>
      <c r="BB1582" s="4"/>
      <c r="BC1582" s="4"/>
      <c r="BD1582" s="4"/>
      <c r="BE1582" s="4"/>
      <c r="BF1582" s="4"/>
      <c r="BG1582" s="4"/>
      <c r="BH1582" s="4"/>
      <c r="BI1582" s="4"/>
      <c r="BJ1582" s="4"/>
      <c r="BK1582" s="4"/>
      <c r="BL1582" s="4"/>
      <c r="BM1582" s="4"/>
      <c r="BN1582" s="4"/>
      <c r="BO1582" s="4"/>
      <c r="BP1582" s="4"/>
      <c r="BQ1582" s="4"/>
      <c r="BR1582" s="4"/>
      <c r="BS1582" s="4"/>
      <c r="BT1582" s="4"/>
      <c r="BU1582" s="4"/>
      <c r="BV1582" s="4"/>
      <c r="BW1582" s="4"/>
      <c r="BX1582" s="4"/>
      <c r="BY1582" s="4"/>
      <c r="BZ1582" s="4"/>
      <c r="CA1582" s="4"/>
      <c r="CB1582" s="4"/>
      <c r="CC1582" s="4"/>
      <c r="CD1582" s="4"/>
      <c r="CE1582" s="4"/>
      <c r="CF1582" s="4"/>
      <c r="CG1582" s="4"/>
      <c r="CH1582" s="4"/>
      <c r="CI1582" s="4"/>
      <c r="CJ1582" s="4"/>
      <c r="CK1582" s="4"/>
      <c r="CL1582" s="4"/>
      <c r="CM1582" s="4"/>
      <c r="CN1582" s="4"/>
      <c r="CO1582" s="4"/>
      <c r="CP1582" s="4"/>
      <c r="CQ1582" s="4"/>
      <c r="CR1582" s="4"/>
      <c r="CS1582" s="4"/>
      <c r="CT1582" s="4"/>
      <c r="CU1582" s="4"/>
      <c r="CV1582" s="4"/>
      <c r="CW1582" s="4"/>
      <c r="CX1582" s="4"/>
      <c r="CY1582" s="4"/>
      <c r="CZ1582" s="4"/>
      <c r="DA1582" s="4"/>
      <c r="DB1582" s="4"/>
      <c r="DC1582" s="4"/>
      <c r="DD1582" s="4"/>
      <c r="DE1582" s="4"/>
      <c r="DF1582" s="4"/>
      <c r="DG1582" s="4"/>
      <c r="DH1582" s="4"/>
      <c r="DI1582" s="4"/>
      <c r="DJ1582" s="4"/>
      <c r="DK1582" s="4"/>
      <c r="DL1582" s="4"/>
      <c r="DM1582" s="4"/>
      <c r="DN1582" s="4"/>
      <c r="DO1582" s="4"/>
      <c r="DP1582" s="4"/>
      <c r="DQ1582" s="4"/>
      <c r="DR1582" s="4"/>
    </row>
    <row r="1583" spans="1:122" x14ac:dyDescent="0.25">
      <c r="A1583" s="2" t="s">
        <v>15</v>
      </c>
      <c r="B1583" s="2" t="str">
        <f>"FES1162769809"</f>
        <v>FES1162769809</v>
      </c>
      <c r="C1583" s="2" t="s">
        <v>1190</v>
      </c>
      <c r="D1583" s="2">
        <v>1</v>
      </c>
      <c r="E1583" s="2" t="str">
        <f>"2170757061"</f>
        <v>2170757061</v>
      </c>
      <c r="F1583" s="2" t="s">
        <v>17</v>
      </c>
      <c r="G1583" s="2" t="s">
        <v>18</v>
      </c>
      <c r="H1583" s="2" t="s">
        <v>25</v>
      </c>
      <c r="I1583" s="2" t="s">
        <v>42</v>
      </c>
      <c r="J1583" s="2" t="s">
        <v>416</v>
      </c>
      <c r="K1583" s="2" t="s">
        <v>1266</v>
      </c>
      <c r="L1583" s="3">
        <v>0.47847222222222219</v>
      </c>
      <c r="M1583" s="2" t="s">
        <v>688</v>
      </c>
      <c r="N1583" s="2" t="s">
        <v>500</v>
      </c>
      <c r="O1583" s="2"/>
      <c r="P1583" s="4"/>
      <c r="Q1583" s="4"/>
      <c r="R1583" s="4"/>
      <c r="S1583" s="4"/>
      <c r="T1583" s="4"/>
      <c r="U1583" s="4"/>
      <c r="V1583" s="4"/>
      <c r="W1583" s="4"/>
      <c r="X1583" s="4"/>
      <c r="Y1583" s="4"/>
      <c r="Z1583" s="4"/>
      <c r="AA1583" s="4"/>
      <c r="AB1583" s="4"/>
      <c r="AC1583" s="4"/>
      <c r="AD1583" s="4"/>
      <c r="AE1583" s="4"/>
      <c r="AF1583" s="4"/>
      <c r="AG1583" s="4"/>
      <c r="AH1583" s="4"/>
      <c r="AI1583" s="4"/>
      <c r="AJ1583" s="4"/>
      <c r="AK1583" s="4"/>
      <c r="AL1583" s="4"/>
      <c r="AM1583" s="4"/>
      <c r="AN1583" s="4"/>
      <c r="AO1583" s="4"/>
      <c r="AP1583" s="4"/>
      <c r="AQ1583" s="4"/>
      <c r="AR1583" s="4"/>
      <c r="AS1583" s="4"/>
      <c r="AT1583" s="4"/>
      <c r="AU1583" s="4"/>
      <c r="AV1583" s="4"/>
      <c r="AW1583" s="4"/>
      <c r="AX1583" s="4"/>
      <c r="AY1583" s="4"/>
      <c r="AZ1583" s="4"/>
      <c r="BA1583" s="4"/>
      <c r="BB1583" s="4"/>
      <c r="BC1583" s="4"/>
      <c r="BD1583" s="4"/>
      <c r="BE1583" s="4"/>
      <c r="BF1583" s="4"/>
      <c r="BG1583" s="4"/>
      <c r="BH1583" s="4"/>
      <c r="BI1583" s="4"/>
      <c r="BJ1583" s="4"/>
      <c r="BK1583" s="4"/>
      <c r="BL1583" s="4"/>
      <c r="BM1583" s="4"/>
      <c r="BN1583" s="4"/>
      <c r="BO1583" s="4"/>
      <c r="BP1583" s="4"/>
      <c r="BQ1583" s="4"/>
      <c r="BR1583" s="4"/>
      <c r="BS1583" s="4"/>
      <c r="BT1583" s="4"/>
      <c r="BU1583" s="4"/>
      <c r="BV1583" s="4"/>
      <c r="BW1583" s="4"/>
      <c r="BX1583" s="4"/>
      <c r="BY1583" s="4"/>
      <c r="BZ1583" s="4"/>
      <c r="CA1583" s="4"/>
      <c r="CB1583" s="4"/>
      <c r="CC1583" s="4"/>
      <c r="CD1583" s="4"/>
      <c r="CE1583" s="4"/>
      <c r="CF1583" s="4"/>
      <c r="CG1583" s="4"/>
      <c r="CH1583" s="4"/>
      <c r="CI1583" s="4"/>
      <c r="CJ1583" s="4"/>
      <c r="CK1583" s="4"/>
      <c r="CL1583" s="4"/>
      <c r="CM1583" s="4"/>
      <c r="CN1583" s="4"/>
      <c r="CO1583" s="4"/>
      <c r="CP1583" s="4"/>
      <c r="CQ1583" s="4"/>
      <c r="CR1583" s="4"/>
      <c r="CS1583" s="4"/>
      <c r="CT1583" s="4"/>
      <c r="CU1583" s="4"/>
      <c r="CV1583" s="4"/>
      <c r="CW1583" s="4"/>
      <c r="CX1583" s="4"/>
      <c r="CY1583" s="4"/>
      <c r="CZ1583" s="4"/>
      <c r="DA1583" s="4"/>
      <c r="DB1583" s="4"/>
      <c r="DC1583" s="4"/>
      <c r="DD1583" s="4"/>
      <c r="DE1583" s="4"/>
      <c r="DF1583" s="4"/>
      <c r="DG1583" s="4"/>
      <c r="DH1583" s="4"/>
      <c r="DI1583" s="4"/>
      <c r="DJ1583" s="4"/>
      <c r="DK1583" s="4"/>
      <c r="DL1583" s="4"/>
      <c r="DM1583" s="4"/>
      <c r="DN1583" s="4"/>
      <c r="DO1583" s="4"/>
      <c r="DP1583" s="4"/>
      <c r="DQ1583" s="4"/>
      <c r="DR1583" s="4"/>
    </row>
    <row r="1584" spans="1:122" x14ac:dyDescent="0.25">
      <c r="A1584" s="2" t="s">
        <v>15</v>
      </c>
      <c r="B1584" s="2" t="str">
        <f>"FES1162769834"</f>
        <v>FES1162769834</v>
      </c>
      <c r="C1584" s="2" t="s">
        <v>1190</v>
      </c>
      <c r="D1584" s="2">
        <v>1</v>
      </c>
      <c r="E1584" s="2" t="str">
        <f>"2170757102"</f>
        <v>2170757102</v>
      </c>
      <c r="F1584" s="2" t="s">
        <v>17</v>
      </c>
      <c r="G1584" s="2" t="s">
        <v>18</v>
      </c>
      <c r="H1584" s="2" t="s">
        <v>25</v>
      </c>
      <c r="I1584" s="2" t="s">
        <v>42</v>
      </c>
      <c r="J1584" s="2" t="s">
        <v>639</v>
      </c>
      <c r="K1584" s="2" t="s">
        <v>1266</v>
      </c>
      <c r="L1584" s="3">
        <v>0.48125000000000001</v>
      </c>
      <c r="M1584" s="2" t="s">
        <v>1333</v>
      </c>
      <c r="N1584" s="2" t="s">
        <v>500</v>
      </c>
      <c r="O1584" s="2"/>
      <c r="P1584" s="4"/>
      <c r="Q1584" s="4"/>
      <c r="R1584" s="4"/>
      <c r="S1584" s="4"/>
      <c r="T1584" s="4"/>
      <c r="U1584" s="4"/>
      <c r="V1584" s="4"/>
      <c r="W1584" s="4"/>
      <c r="X1584" s="4"/>
      <c r="Y1584" s="4"/>
      <c r="Z1584" s="4"/>
      <c r="AA1584" s="4"/>
      <c r="AB1584" s="4"/>
      <c r="AC1584" s="4"/>
      <c r="AD1584" s="4"/>
      <c r="AE1584" s="4"/>
      <c r="AF1584" s="4"/>
      <c r="AG1584" s="4"/>
      <c r="AH1584" s="4"/>
      <c r="AI1584" s="4"/>
      <c r="AJ1584" s="4"/>
      <c r="AK1584" s="4"/>
      <c r="AL1584" s="4"/>
      <c r="AM1584" s="4"/>
      <c r="AN1584" s="4"/>
      <c r="AO1584" s="4"/>
      <c r="AP1584" s="4"/>
      <c r="AQ1584" s="4"/>
      <c r="AR1584" s="4"/>
      <c r="AS1584" s="4"/>
      <c r="AT1584" s="4"/>
      <c r="AU1584" s="4"/>
      <c r="AV1584" s="4"/>
      <c r="AW1584" s="4"/>
      <c r="AX1584" s="4"/>
      <c r="AY1584" s="4"/>
      <c r="AZ1584" s="4"/>
      <c r="BA1584" s="4"/>
      <c r="BB1584" s="4"/>
      <c r="BC1584" s="4"/>
      <c r="BD1584" s="4"/>
      <c r="BE1584" s="4"/>
      <c r="BF1584" s="4"/>
      <c r="BG1584" s="4"/>
      <c r="BH1584" s="4"/>
      <c r="BI1584" s="4"/>
      <c r="BJ1584" s="4"/>
      <c r="BK1584" s="4"/>
      <c r="BL1584" s="4"/>
      <c r="BM1584" s="4"/>
      <c r="BN1584" s="4"/>
      <c r="BO1584" s="4"/>
      <c r="BP1584" s="4"/>
      <c r="BQ1584" s="4"/>
      <c r="BR1584" s="4"/>
      <c r="BS1584" s="4"/>
      <c r="BT1584" s="4"/>
      <c r="BU1584" s="4"/>
      <c r="BV1584" s="4"/>
      <c r="BW1584" s="4"/>
      <c r="BX1584" s="4"/>
      <c r="BY1584" s="4"/>
      <c r="BZ1584" s="4"/>
      <c r="CA1584" s="4"/>
      <c r="CB1584" s="4"/>
      <c r="CC1584" s="4"/>
      <c r="CD1584" s="4"/>
      <c r="CE1584" s="4"/>
      <c r="CF1584" s="4"/>
      <c r="CG1584" s="4"/>
      <c r="CH1584" s="4"/>
      <c r="CI1584" s="4"/>
      <c r="CJ1584" s="4"/>
      <c r="CK1584" s="4"/>
      <c r="CL1584" s="4"/>
      <c r="CM1584" s="4"/>
      <c r="CN1584" s="4"/>
      <c r="CO1584" s="4"/>
      <c r="CP1584" s="4"/>
      <c r="CQ1584" s="4"/>
      <c r="CR1584" s="4"/>
      <c r="CS1584" s="4"/>
      <c r="CT1584" s="4"/>
      <c r="CU1584" s="4"/>
      <c r="CV1584" s="4"/>
      <c r="CW1584" s="4"/>
      <c r="CX1584" s="4"/>
      <c r="CY1584" s="4"/>
      <c r="CZ1584" s="4"/>
      <c r="DA1584" s="4"/>
      <c r="DB1584" s="4"/>
      <c r="DC1584" s="4"/>
      <c r="DD1584" s="4"/>
      <c r="DE1584" s="4"/>
      <c r="DF1584" s="4"/>
      <c r="DG1584" s="4"/>
      <c r="DH1584" s="4"/>
      <c r="DI1584" s="4"/>
      <c r="DJ1584" s="4"/>
      <c r="DK1584" s="4"/>
      <c r="DL1584" s="4"/>
      <c r="DM1584" s="4"/>
      <c r="DN1584" s="4"/>
      <c r="DO1584" s="4"/>
      <c r="DP1584" s="4"/>
      <c r="DQ1584" s="4"/>
      <c r="DR1584" s="4"/>
    </row>
    <row r="1585" spans="1:122" x14ac:dyDescent="0.25">
      <c r="A1585" s="2" t="s">
        <v>15</v>
      </c>
      <c r="B1585" s="2" t="str">
        <f>"FES1162769854"</f>
        <v>FES1162769854</v>
      </c>
      <c r="C1585" s="2" t="s">
        <v>1190</v>
      </c>
      <c r="D1585" s="2">
        <v>1</v>
      </c>
      <c r="E1585" s="2" t="str">
        <f>"2170757139"</f>
        <v>2170757139</v>
      </c>
      <c r="F1585" s="2" t="s">
        <v>17</v>
      </c>
      <c r="G1585" s="2" t="s">
        <v>18</v>
      </c>
      <c r="H1585" s="2" t="s">
        <v>25</v>
      </c>
      <c r="I1585" s="2" t="s">
        <v>26</v>
      </c>
      <c r="J1585" s="2" t="s">
        <v>1020</v>
      </c>
      <c r="K1585" s="2" t="s">
        <v>1266</v>
      </c>
      <c r="L1585" s="3">
        <v>0.43472222222222223</v>
      </c>
      <c r="M1585" s="2" t="s">
        <v>1334</v>
      </c>
      <c r="N1585" s="2" t="s">
        <v>500</v>
      </c>
      <c r="O1585" s="2"/>
      <c r="P1585" s="4"/>
      <c r="Q1585" s="4"/>
      <c r="R1585" s="4"/>
      <c r="S1585" s="4"/>
      <c r="T1585" s="4"/>
      <c r="U1585" s="4"/>
      <c r="V1585" s="4"/>
      <c r="W1585" s="4"/>
      <c r="X1585" s="4"/>
      <c r="Y1585" s="4"/>
      <c r="Z1585" s="4"/>
      <c r="AA1585" s="4"/>
      <c r="AB1585" s="4"/>
      <c r="AC1585" s="4"/>
      <c r="AD1585" s="4"/>
      <c r="AE1585" s="4"/>
      <c r="AF1585" s="4"/>
      <c r="AG1585" s="4"/>
      <c r="AH1585" s="4"/>
      <c r="AI1585" s="4"/>
      <c r="AJ1585" s="4"/>
      <c r="AK1585" s="4"/>
      <c r="AL1585" s="4"/>
      <c r="AM1585" s="4"/>
      <c r="AN1585" s="4"/>
      <c r="AO1585" s="4"/>
      <c r="AP1585" s="4"/>
      <c r="AQ1585" s="4"/>
      <c r="AR1585" s="4"/>
      <c r="AS1585" s="4"/>
      <c r="AT1585" s="4"/>
      <c r="AU1585" s="4"/>
      <c r="AV1585" s="4"/>
      <c r="AW1585" s="4"/>
      <c r="AX1585" s="4"/>
      <c r="AY1585" s="4"/>
      <c r="AZ1585" s="4"/>
      <c r="BA1585" s="4"/>
      <c r="BB1585" s="4"/>
      <c r="BC1585" s="4"/>
      <c r="BD1585" s="4"/>
      <c r="BE1585" s="4"/>
      <c r="BF1585" s="4"/>
      <c r="BG1585" s="4"/>
      <c r="BH1585" s="4"/>
      <c r="BI1585" s="4"/>
      <c r="BJ1585" s="4"/>
      <c r="BK1585" s="4"/>
      <c r="BL1585" s="4"/>
      <c r="BM1585" s="4"/>
      <c r="BN1585" s="4"/>
      <c r="BO1585" s="4"/>
      <c r="BP1585" s="4"/>
      <c r="BQ1585" s="4"/>
      <c r="BR1585" s="4"/>
      <c r="BS1585" s="4"/>
      <c r="BT1585" s="4"/>
      <c r="BU1585" s="4"/>
      <c r="BV1585" s="4"/>
      <c r="BW1585" s="4"/>
      <c r="BX1585" s="4"/>
      <c r="BY1585" s="4"/>
      <c r="BZ1585" s="4"/>
      <c r="CA1585" s="4"/>
      <c r="CB1585" s="4"/>
      <c r="CC1585" s="4"/>
      <c r="CD1585" s="4"/>
      <c r="CE1585" s="4"/>
      <c r="CF1585" s="4"/>
      <c r="CG1585" s="4"/>
      <c r="CH1585" s="4"/>
      <c r="CI1585" s="4"/>
      <c r="CJ1585" s="4"/>
      <c r="CK1585" s="4"/>
      <c r="CL1585" s="4"/>
      <c r="CM1585" s="4"/>
      <c r="CN1585" s="4"/>
      <c r="CO1585" s="4"/>
      <c r="CP1585" s="4"/>
      <c r="CQ1585" s="4"/>
      <c r="CR1585" s="4"/>
      <c r="CS1585" s="4"/>
      <c r="CT1585" s="4"/>
      <c r="CU1585" s="4"/>
      <c r="CV1585" s="4"/>
      <c r="CW1585" s="4"/>
      <c r="CX1585" s="4"/>
      <c r="CY1585" s="4"/>
      <c r="CZ1585" s="4"/>
      <c r="DA1585" s="4"/>
      <c r="DB1585" s="4"/>
      <c r="DC1585" s="4"/>
      <c r="DD1585" s="4"/>
      <c r="DE1585" s="4"/>
      <c r="DF1585" s="4"/>
      <c r="DG1585" s="4"/>
      <c r="DH1585" s="4"/>
      <c r="DI1585" s="4"/>
      <c r="DJ1585" s="4"/>
      <c r="DK1585" s="4"/>
      <c r="DL1585" s="4"/>
      <c r="DM1585" s="4"/>
      <c r="DN1585" s="4"/>
      <c r="DO1585" s="4"/>
      <c r="DP1585" s="4"/>
      <c r="DQ1585" s="4"/>
      <c r="DR1585" s="4"/>
    </row>
    <row r="1586" spans="1:122" s="11" customFormat="1" x14ac:dyDescent="0.25">
      <c r="A1586" s="5" t="s">
        <v>15</v>
      </c>
      <c r="B1586" s="5" t="str">
        <f>"FES1162769756"</f>
        <v>FES1162769756</v>
      </c>
      <c r="C1586" s="5" t="s">
        <v>1190</v>
      </c>
      <c r="D1586" s="5">
        <v>1</v>
      </c>
      <c r="E1586" s="5" t="str">
        <f>"2170756969"</f>
        <v>2170756969</v>
      </c>
      <c r="F1586" s="5" t="s">
        <v>17</v>
      </c>
      <c r="G1586" s="5" t="s">
        <v>18</v>
      </c>
      <c r="H1586" s="5" t="s">
        <v>25</v>
      </c>
      <c r="I1586" s="5" t="s">
        <v>345</v>
      </c>
      <c r="J1586" s="5" t="s">
        <v>346</v>
      </c>
      <c r="K1586" s="5" t="s">
        <v>1353</v>
      </c>
      <c r="L1586" s="9">
        <v>0.67152777777777783</v>
      </c>
      <c r="M1586" s="5" t="s">
        <v>1822</v>
      </c>
      <c r="N1586" s="5" t="s">
        <v>500</v>
      </c>
      <c r="O1586" s="5"/>
      <c r="P1586" s="4"/>
      <c r="Q1586" s="4"/>
      <c r="R1586" s="4"/>
      <c r="S1586" s="4"/>
      <c r="T1586" s="4"/>
      <c r="U1586" s="4"/>
      <c r="V1586" s="4"/>
      <c r="W1586" s="4"/>
      <c r="X1586" s="4"/>
      <c r="Y1586" s="4"/>
      <c r="Z1586" s="4"/>
      <c r="AA1586" s="4"/>
      <c r="AB1586" s="4"/>
      <c r="AC1586" s="4"/>
      <c r="AD1586" s="4"/>
      <c r="AE1586" s="4"/>
      <c r="AF1586" s="4"/>
      <c r="AG1586" s="4"/>
      <c r="AH1586" s="4"/>
      <c r="AI1586" s="4"/>
      <c r="AJ1586" s="4"/>
      <c r="AK1586" s="4"/>
      <c r="AL1586" s="4"/>
      <c r="AM1586" s="4"/>
      <c r="AN1586" s="4"/>
      <c r="AO1586" s="4"/>
      <c r="AP1586" s="4"/>
      <c r="AQ1586" s="4"/>
      <c r="AR1586" s="4"/>
      <c r="AS1586" s="4"/>
      <c r="AT1586" s="4"/>
      <c r="AU1586" s="4"/>
      <c r="AV1586" s="4"/>
      <c r="AW1586" s="4"/>
      <c r="AX1586" s="4"/>
      <c r="AY1586" s="4"/>
      <c r="AZ1586" s="4"/>
      <c r="BA1586" s="4"/>
      <c r="BB1586" s="4"/>
      <c r="BC1586" s="4"/>
      <c r="BD1586" s="4"/>
      <c r="BE1586" s="4"/>
      <c r="BF1586" s="4"/>
      <c r="BG1586" s="4"/>
      <c r="BH1586" s="4"/>
      <c r="BI1586" s="4"/>
      <c r="BJ1586" s="4"/>
      <c r="BK1586" s="4"/>
      <c r="BL1586" s="4"/>
      <c r="BM1586" s="4"/>
      <c r="BN1586" s="4"/>
      <c r="BO1586" s="4"/>
      <c r="BP1586" s="4"/>
      <c r="BQ1586" s="4"/>
      <c r="BR1586" s="4"/>
      <c r="BS1586" s="4"/>
      <c r="BT1586" s="4"/>
      <c r="BU1586" s="4"/>
      <c r="BV1586" s="4"/>
      <c r="BW1586" s="4"/>
      <c r="BX1586" s="4"/>
      <c r="BY1586" s="4"/>
      <c r="BZ1586" s="4"/>
      <c r="CA1586" s="4"/>
      <c r="CB1586" s="4"/>
      <c r="CC1586" s="4"/>
      <c r="CD1586" s="4"/>
      <c r="CE1586" s="4"/>
      <c r="CF1586" s="4"/>
      <c r="CG1586" s="4"/>
      <c r="CH1586" s="4"/>
      <c r="CI1586" s="4"/>
      <c r="CJ1586" s="4"/>
      <c r="CK1586" s="4"/>
      <c r="CL1586" s="4"/>
      <c r="CM1586" s="4"/>
      <c r="CN1586" s="4"/>
      <c r="CO1586" s="4"/>
      <c r="CP1586" s="4"/>
      <c r="CQ1586" s="4"/>
      <c r="CR1586" s="4"/>
      <c r="CS1586" s="4"/>
      <c r="CT1586" s="4"/>
      <c r="CU1586" s="4"/>
      <c r="CV1586" s="4"/>
      <c r="CW1586" s="4"/>
      <c r="CX1586" s="4"/>
      <c r="CY1586" s="4"/>
      <c r="CZ1586" s="4"/>
      <c r="DA1586" s="4"/>
      <c r="DB1586" s="4"/>
      <c r="DC1586" s="4"/>
      <c r="DD1586" s="4"/>
      <c r="DE1586" s="4"/>
      <c r="DF1586" s="4"/>
      <c r="DG1586" s="4"/>
      <c r="DH1586" s="4"/>
      <c r="DI1586" s="4"/>
      <c r="DJ1586" s="4"/>
      <c r="DK1586" s="4"/>
      <c r="DL1586" s="4"/>
      <c r="DM1586" s="4"/>
      <c r="DN1586" s="4"/>
      <c r="DO1586" s="4"/>
      <c r="DP1586" s="4"/>
      <c r="DQ1586" s="4"/>
      <c r="DR1586" s="4"/>
    </row>
    <row r="1587" spans="1:122" x14ac:dyDescent="0.25">
      <c r="A1587" s="5" t="s">
        <v>15</v>
      </c>
      <c r="B1587" s="5" t="str">
        <f>"FES1162769503"</f>
        <v>FES1162769503</v>
      </c>
      <c r="C1587" s="5" t="s">
        <v>1190</v>
      </c>
      <c r="D1587" s="5">
        <v>1</v>
      </c>
      <c r="E1587" s="5" t="str">
        <f>"2170755218"</f>
        <v>2170755218</v>
      </c>
      <c r="F1587" s="5" t="s">
        <v>17</v>
      </c>
      <c r="G1587" s="5" t="s">
        <v>18</v>
      </c>
      <c r="H1587" s="5" t="s">
        <v>36</v>
      </c>
      <c r="I1587" s="5" t="s">
        <v>37</v>
      </c>
      <c r="J1587" s="5" t="s">
        <v>476</v>
      </c>
      <c r="K1587" s="5" t="s">
        <v>1266</v>
      </c>
      <c r="L1587" s="9">
        <v>0.35069444444444442</v>
      </c>
      <c r="M1587" s="5" t="s">
        <v>1335</v>
      </c>
      <c r="N1587" s="5" t="s">
        <v>500</v>
      </c>
      <c r="O1587" s="5"/>
      <c r="P1587" s="4"/>
      <c r="Q1587" s="4"/>
      <c r="R1587" s="4"/>
      <c r="S1587" s="4"/>
      <c r="T1587" s="4"/>
      <c r="U1587" s="4"/>
      <c r="V1587" s="4"/>
      <c r="W1587" s="4"/>
      <c r="X1587" s="4"/>
      <c r="Y1587" s="4"/>
      <c r="Z1587" s="4"/>
      <c r="AA1587" s="4"/>
      <c r="AB1587" s="4"/>
      <c r="AC1587" s="4"/>
      <c r="AD1587" s="4"/>
      <c r="AE1587" s="4"/>
      <c r="AF1587" s="4"/>
      <c r="AG1587" s="4"/>
      <c r="AH1587" s="4"/>
      <c r="AI1587" s="4"/>
      <c r="AJ1587" s="4"/>
      <c r="AK1587" s="4"/>
      <c r="AL1587" s="4"/>
      <c r="AM1587" s="4"/>
      <c r="AN1587" s="4"/>
      <c r="AO1587" s="4"/>
      <c r="AP1587" s="4"/>
      <c r="AQ1587" s="4"/>
      <c r="AR1587" s="4"/>
      <c r="AS1587" s="4"/>
      <c r="AT1587" s="4"/>
      <c r="AU1587" s="4"/>
      <c r="AV1587" s="4"/>
      <c r="AW1587" s="4"/>
      <c r="AX1587" s="4"/>
      <c r="AY1587" s="4"/>
      <c r="AZ1587" s="4"/>
      <c r="BA1587" s="4"/>
      <c r="BB1587" s="4"/>
      <c r="BC1587" s="4"/>
      <c r="BD1587" s="4"/>
      <c r="BE1587" s="4"/>
      <c r="BF1587" s="4"/>
      <c r="BG1587" s="4"/>
      <c r="BH1587" s="4"/>
      <c r="BI1587" s="4"/>
      <c r="BJ1587" s="4"/>
      <c r="BK1587" s="4"/>
      <c r="BL1587" s="4"/>
      <c r="BM1587" s="4"/>
      <c r="BN1587" s="4"/>
      <c r="BO1587" s="4"/>
      <c r="BP1587" s="4"/>
      <c r="BQ1587" s="4"/>
      <c r="BR1587" s="4"/>
      <c r="BS1587" s="4"/>
      <c r="BT1587" s="4"/>
      <c r="BU1587" s="4"/>
      <c r="BV1587" s="4"/>
      <c r="BW1587" s="4"/>
      <c r="BX1587" s="4"/>
      <c r="BY1587" s="4"/>
      <c r="BZ1587" s="4"/>
      <c r="CA1587" s="4"/>
      <c r="CB1587" s="4"/>
      <c r="CC1587" s="4"/>
      <c r="CD1587" s="4"/>
      <c r="CE1587" s="4"/>
      <c r="CF1587" s="4"/>
      <c r="CG1587" s="4"/>
      <c r="CH1587" s="4"/>
      <c r="CI1587" s="4"/>
      <c r="CJ1587" s="4"/>
      <c r="CK1587" s="4"/>
      <c r="CL1587" s="4"/>
      <c r="CM1587" s="4"/>
      <c r="CN1587" s="4"/>
      <c r="CO1587" s="4"/>
      <c r="CP1587" s="4"/>
      <c r="CQ1587" s="4"/>
      <c r="CR1587" s="4"/>
      <c r="CS1587" s="4"/>
      <c r="CT1587" s="4"/>
      <c r="CU1587" s="4"/>
      <c r="CV1587" s="4"/>
      <c r="CW1587" s="4"/>
      <c r="CX1587" s="4"/>
      <c r="CY1587" s="4"/>
      <c r="CZ1587" s="4"/>
      <c r="DA1587" s="4"/>
      <c r="DB1587" s="4"/>
      <c r="DC1587" s="4"/>
      <c r="DD1587" s="4"/>
      <c r="DE1587" s="4"/>
      <c r="DF1587" s="4"/>
      <c r="DG1587" s="4"/>
      <c r="DH1587" s="4"/>
      <c r="DI1587" s="4"/>
      <c r="DJ1587" s="4"/>
      <c r="DK1587" s="4"/>
      <c r="DL1587" s="4"/>
      <c r="DM1587" s="4"/>
      <c r="DN1587" s="4"/>
      <c r="DO1587" s="4"/>
      <c r="DP1587" s="4"/>
      <c r="DQ1587" s="4"/>
      <c r="DR1587" s="4"/>
    </row>
    <row r="1588" spans="1:122" x14ac:dyDescent="0.25">
      <c r="A1588" s="2" t="s">
        <v>15</v>
      </c>
      <c r="B1588" s="2" t="str">
        <f>"FES1162769367"</f>
        <v>FES1162769367</v>
      </c>
      <c r="C1588" s="2" t="s">
        <v>1190</v>
      </c>
      <c r="D1588" s="2">
        <v>1</v>
      </c>
      <c r="E1588" s="2" t="str">
        <f>"2170755280"</f>
        <v>2170755280</v>
      </c>
      <c r="F1588" s="2" t="s">
        <v>17</v>
      </c>
      <c r="G1588" s="2" t="s">
        <v>18</v>
      </c>
      <c r="H1588" s="2" t="s">
        <v>88</v>
      </c>
      <c r="I1588" s="2" t="s">
        <v>109</v>
      </c>
      <c r="J1588" s="2" t="s">
        <v>110</v>
      </c>
      <c r="K1588" s="2" t="s">
        <v>1266</v>
      </c>
      <c r="L1588" s="3">
        <v>0.3888888888888889</v>
      </c>
      <c r="M1588" s="2" t="s">
        <v>224</v>
      </c>
      <c r="N1588" s="2" t="s">
        <v>500</v>
      </c>
      <c r="O1588" s="2"/>
      <c r="P1588" s="4"/>
      <c r="Q1588" s="4"/>
      <c r="R1588" s="4"/>
      <c r="S1588" s="4"/>
      <c r="T1588" s="4"/>
      <c r="U1588" s="4"/>
      <c r="V1588" s="4"/>
      <c r="W1588" s="4"/>
      <c r="X1588" s="4"/>
      <c r="Y1588" s="4"/>
      <c r="Z1588" s="4"/>
      <c r="AA1588" s="4"/>
      <c r="AB1588" s="4"/>
      <c r="AC1588" s="4"/>
      <c r="AD1588" s="4"/>
      <c r="AE1588" s="4"/>
      <c r="AF1588" s="4"/>
      <c r="AG1588" s="4"/>
      <c r="AH1588" s="4"/>
      <c r="AI1588" s="4"/>
      <c r="AJ1588" s="4"/>
      <c r="AK1588" s="4"/>
      <c r="AL1588" s="4"/>
      <c r="AM1588" s="4"/>
      <c r="AN1588" s="4"/>
      <c r="AO1588" s="4"/>
      <c r="AP1588" s="4"/>
      <c r="AQ1588" s="4"/>
      <c r="AR1588" s="4"/>
      <c r="AS1588" s="4"/>
      <c r="AT1588" s="4"/>
      <c r="AU1588" s="4"/>
      <c r="AV1588" s="4"/>
      <c r="AW1588" s="4"/>
      <c r="AX1588" s="4"/>
      <c r="AY1588" s="4"/>
      <c r="AZ1588" s="4"/>
      <c r="BA1588" s="4"/>
      <c r="BB1588" s="4"/>
      <c r="BC1588" s="4"/>
      <c r="BD1588" s="4"/>
      <c r="BE1588" s="4"/>
      <c r="BF1588" s="4"/>
      <c r="BG1588" s="4"/>
      <c r="BH1588" s="4"/>
      <c r="BI1588" s="4"/>
      <c r="BJ1588" s="4"/>
      <c r="BK1588" s="4"/>
      <c r="BL1588" s="4"/>
      <c r="BM1588" s="4"/>
      <c r="BN1588" s="4"/>
      <c r="BO1588" s="4"/>
      <c r="BP1588" s="4"/>
      <c r="BQ1588" s="4"/>
      <c r="BR1588" s="4"/>
      <c r="BS1588" s="4"/>
      <c r="BT1588" s="4"/>
      <c r="BU1588" s="4"/>
      <c r="BV1588" s="4"/>
      <c r="BW1588" s="4"/>
      <c r="BX1588" s="4"/>
      <c r="BY1588" s="4"/>
      <c r="BZ1588" s="4"/>
      <c r="CA1588" s="4"/>
      <c r="CB1588" s="4"/>
      <c r="CC1588" s="4"/>
      <c r="CD1588" s="4"/>
      <c r="CE1588" s="4"/>
      <c r="CF1588" s="4"/>
      <c r="CG1588" s="4"/>
      <c r="CH1588" s="4"/>
      <c r="CI1588" s="4"/>
      <c r="CJ1588" s="4"/>
      <c r="CK1588" s="4"/>
      <c r="CL1588" s="4"/>
      <c r="CM1588" s="4"/>
      <c r="CN1588" s="4"/>
      <c r="CO1588" s="4"/>
      <c r="CP1588" s="4"/>
      <c r="CQ1588" s="4"/>
      <c r="CR1588" s="4"/>
      <c r="CS1588" s="4"/>
      <c r="CT1588" s="4"/>
      <c r="CU1588" s="4"/>
      <c r="CV1588" s="4"/>
      <c r="CW1588" s="4"/>
      <c r="CX1588" s="4"/>
      <c r="CY1588" s="4"/>
      <c r="CZ1588" s="4"/>
      <c r="DA1588" s="4"/>
      <c r="DB1588" s="4"/>
      <c r="DC1588" s="4"/>
      <c r="DD1588" s="4"/>
      <c r="DE1588" s="4"/>
      <c r="DF1588" s="4"/>
      <c r="DG1588" s="4"/>
      <c r="DH1588" s="4"/>
      <c r="DI1588" s="4"/>
      <c r="DJ1588" s="4"/>
      <c r="DK1588" s="4"/>
      <c r="DL1588" s="4"/>
      <c r="DM1588" s="4"/>
      <c r="DN1588" s="4"/>
      <c r="DO1588" s="4"/>
      <c r="DP1588" s="4"/>
      <c r="DQ1588" s="4"/>
      <c r="DR1588" s="4"/>
    </row>
    <row r="1589" spans="1:122" x14ac:dyDescent="0.25">
      <c r="A1589" s="2" t="s">
        <v>15</v>
      </c>
      <c r="B1589" s="2" t="str">
        <f>"FES1162769644"</f>
        <v>FES1162769644</v>
      </c>
      <c r="C1589" s="2" t="s">
        <v>1190</v>
      </c>
      <c r="D1589" s="2">
        <v>1</v>
      </c>
      <c r="E1589" s="2" t="str">
        <f>"2170756730"</f>
        <v>2170756730</v>
      </c>
      <c r="F1589" s="2" t="s">
        <v>17</v>
      </c>
      <c r="G1589" s="2" t="s">
        <v>18</v>
      </c>
      <c r="H1589" s="2" t="s">
        <v>18</v>
      </c>
      <c r="I1589" s="2" t="s">
        <v>50</v>
      </c>
      <c r="J1589" s="2" t="s">
        <v>51</v>
      </c>
      <c r="K1589" s="2" t="s">
        <v>1266</v>
      </c>
      <c r="L1589" s="3">
        <v>0.37916666666666665</v>
      </c>
      <c r="M1589" s="2" t="s">
        <v>184</v>
      </c>
      <c r="N1589" s="2" t="s">
        <v>500</v>
      </c>
      <c r="O1589" s="2"/>
      <c r="P1589" s="4"/>
      <c r="Q1589" s="4"/>
      <c r="R1589" s="4"/>
      <c r="S1589" s="4"/>
      <c r="T1589" s="4"/>
      <c r="U1589" s="4"/>
      <c r="V1589" s="4"/>
      <c r="W1589" s="4"/>
      <c r="X1589" s="4"/>
      <c r="Y1589" s="4"/>
      <c r="Z1589" s="4"/>
      <c r="AA1589" s="4"/>
      <c r="AB1589" s="4"/>
      <c r="AC1589" s="4"/>
      <c r="AD1589" s="4"/>
      <c r="AE1589" s="4"/>
      <c r="AF1589" s="4"/>
      <c r="AG1589" s="4"/>
      <c r="AH1589" s="4"/>
      <c r="AI1589" s="4"/>
      <c r="AJ1589" s="4"/>
      <c r="AK1589" s="4"/>
      <c r="AL1589" s="4"/>
      <c r="AM1589" s="4"/>
      <c r="AN1589" s="4"/>
      <c r="AO1589" s="4"/>
      <c r="AP1589" s="4"/>
      <c r="AQ1589" s="4"/>
      <c r="AR1589" s="4"/>
      <c r="AS1589" s="4"/>
      <c r="AT1589" s="4"/>
      <c r="AU1589" s="4"/>
      <c r="AV1589" s="4"/>
      <c r="AW1589" s="4"/>
      <c r="AX1589" s="4"/>
      <c r="AY1589" s="4"/>
      <c r="AZ1589" s="4"/>
      <c r="BA1589" s="4"/>
      <c r="BB1589" s="4"/>
      <c r="BC1589" s="4"/>
      <c r="BD1589" s="4"/>
      <c r="BE1589" s="4"/>
      <c r="BF1589" s="4"/>
      <c r="BG1589" s="4"/>
      <c r="BH1589" s="4"/>
      <c r="BI1589" s="4"/>
      <c r="BJ1589" s="4"/>
      <c r="BK1589" s="4"/>
      <c r="BL1589" s="4"/>
      <c r="BM1589" s="4"/>
      <c r="BN1589" s="4"/>
      <c r="BO1589" s="4"/>
      <c r="BP1589" s="4"/>
      <c r="BQ1589" s="4"/>
      <c r="BR1589" s="4"/>
      <c r="BS1589" s="4"/>
      <c r="BT1589" s="4"/>
      <c r="BU1589" s="4"/>
      <c r="BV1589" s="4"/>
      <c r="BW1589" s="4"/>
      <c r="BX1589" s="4"/>
      <c r="BY1589" s="4"/>
      <c r="BZ1589" s="4"/>
      <c r="CA1589" s="4"/>
      <c r="CB1589" s="4"/>
      <c r="CC1589" s="4"/>
      <c r="CD1589" s="4"/>
      <c r="CE1589" s="4"/>
      <c r="CF1589" s="4"/>
      <c r="CG1589" s="4"/>
      <c r="CH1589" s="4"/>
      <c r="CI1589" s="4"/>
      <c r="CJ1589" s="4"/>
      <c r="CK1589" s="4"/>
      <c r="CL1589" s="4"/>
      <c r="CM1589" s="4"/>
      <c r="CN1589" s="4"/>
      <c r="CO1589" s="4"/>
      <c r="CP1589" s="4"/>
      <c r="CQ1589" s="4"/>
      <c r="CR1589" s="4"/>
      <c r="CS1589" s="4"/>
      <c r="CT1589" s="4"/>
      <c r="CU1589" s="4"/>
      <c r="CV1589" s="4"/>
      <c r="CW1589" s="4"/>
      <c r="CX1589" s="4"/>
      <c r="CY1589" s="4"/>
      <c r="CZ1589" s="4"/>
      <c r="DA1589" s="4"/>
      <c r="DB1589" s="4"/>
      <c r="DC1589" s="4"/>
      <c r="DD1589" s="4"/>
      <c r="DE1589" s="4"/>
      <c r="DF1589" s="4"/>
      <c r="DG1589" s="4"/>
      <c r="DH1589" s="4"/>
      <c r="DI1589" s="4"/>
      <c r="DJ1589" s="4"/>
      <c r="DK1589" s="4"/>
      <c r="DL1589" s="4"/>
      <c r="DM1589" s="4"/>
      <c r="DN1589" s="4"/>
      <c r="DO1589" s="4"/>
      <c r="DP1589" s="4"/>
      <c r="DQ1589" s="4"/>
      <c r="DR1589" s="4"/>
    </row>
    <row r="1590" spans="1:122" x14ac:dyDescent="0.25">
      <c r="A1590" s="2" t="s">
        <v>15</v>
      </c>
      <c r="B1590" s="2" t="str">
        <f>"FES1162769605"</f>
        <v>FES1162769605</v>
      </c>
      <c r="C1590" s="2" t="s">
        <v>1190</v>
      </c>
      <c r="D1590" s="2">
        <v>1</v>
      </c>
      <c r="E1590" s="2" t="str">
        <f>"2170756666"</f>
        <v>2170756666</v>
      </c>
      <c r="F1590" s="2" t="s">
        <v>17</v>
      </c>
      <c r="G1590" s="2" t="s">
        <v>18</v>
      </c>
      <c r="H1590" s="2" t="s">
        <v>18</v>
      </c>
      <c r="I1590" s="2" t="s">
        <v>57</v>
      </c>
      <c r="J1590" s="2" t="s">
        <v>1286</v>
      </c>
      <c r="K1590" s="2" t="s">
        <v>1266</v>
      </c>
      <c r="L1590" s="3">
        <v>0.43333333333333335</v>
      </c>
      <c r="M1590" s="2" t="s">
        <v>1336</v>
      </c>
      <c r="N1590" s="2" t="s">
        <v>500</v>
      </c>
      <c r="O1590" s="2"/>
      <c r="P1590" s="4"/>
      <c r="Q1590" s="4"/>
      <c r="R1590" s="4"/>
      <c r="S1590" s="4"/>
      <c r="T1590" s="4"/>
      <c r="U1590" s="4"/>
      <c r="V1590" s="4"/>
      <c r="W1590" s="4"/>
      <c r="X1590" s="4"/>
      <c r="Y1590" s="4"/>
      <c r="Z1590" s="4"/>
      <c r="AA1590" s="4"/>
      <c r="AB1590" s="4"/>
      <c r="AC1590" s="4"/>
      <c r="AD1590" s="4"/>
      <c r="AE1590" s="4"/>
      <c r="AF1590" s="4"/>
      <c r="AG1590" s="4"/>
      <c r="AH1590" s="4"/>
      <c r="AI1590" s="4"/>
      <c r="AJ1590" s="4"/>
      <c r="AK1590" s="4"/>
      <c r="AL1590" s="4"/>
      <c r="AM1590" s="4"/>
      <c r="AN1590" s="4"/>
      <c r="AO1590" s="4"/>
      <c r="AP1590" s="4"/>
      <c r="AQ1590" s="4"/>
      <c r="AR1590" s="4"/>
      <c r="AS1590" s="4"/>
      <c r="AT1590" s="4"/>
      <c r="AU1590" s="4"/>
      <c r="AV1590" s="4"/>
      <c r="AW1590" s="4"/>
      <c r="AX1590" s="4"/>
      <c r="AY1590" s="4"/>
      <c r="AZ1590" s="4"/>
      <c r="BA1590" s="4"/>
      <c r="BB1590" s="4"/>
      <c r="BC1590" s="4"/>
      <c r="BD1590" s="4"/>
      <c r="BE1590" s="4"/>
      <c r="BF1590" s="4"/>
      <c r="BG1590" s="4"/>
      <c r="BH1590" s="4"/>
      <c r="BI1590" s="4"/>
      <c r="BJ1590" s="4"/>
      <c r="BK1590" s="4"/>
      <c r="BL1590" s="4"/>
      <c r="BM1590" s="4"/>
      <c r="BN1590" s="4"/>
      <c r="BO1590" s="4"/>
      <c r="BP1590" s="4"/>
      <c r="BQ1590" s="4"/>
      <c r="BR1590" s="4"/>
      <c r="BS1590" s="4"/>
      <c r="BT1590" s="4"/>
      <c r="BU1590" s="4"/>
      <c r="BV1590" s="4"/>
      <c r="BW1590" s="4"/>
      <c r="BX1590" s="4"/>
      <c r="BY1590" s="4"/>
      <c r="BZ1590" s="4"/>
      <c r="CA1590" s="4"/>
      <c r="CB1590" s="4"/>
      <c r="CC1590" s="4"/>
      <c r="CD1590" s="4"/>
      <c r="CE1590" s="4"/>
      <c r="CF1590" s="4"/>
      <c r="CG1590" s="4"/>
      <c r="CH1590" s="4"/>
      <c r="CI1590" s="4"/>
      <c r="CJ1590" s="4"/>
      <c r="CK1590" s="4"/>
      <c r="CL1590" s="4"/>
      <c r="CM1590" s="4"/>
      <c r="CN1590" s="4"/>
      <c r="CO1590" s="4"/>
      <c r="CP1590" s="4"/>
      <c r="CQ1590" s="4"/>
      <c r="CR1590" s="4"/>
      <c r="CS1590" s="4"/>
      <c r="CT1590" s="4"/>
      <c r="CU1590" s="4"/>
      <c r="CV1590" s="4"/>
      <c r="CW1590" s="4"/>
      <c r="CX1590" s="4"/>
      <c r="CY1590" s="4"/>
      <c r="CZ1590" s="4"/>
      <c r="DA1590" s="4"/>
      <c r="DB1590" s="4"/>
      <c r="DC1590" s="4"/>
      <c r="DD1590" s="4"/>
      <c r="DE1590" s="4"/>
      <c r="DF1590" s="4"/>
      <c r="DG1590" s="4"/>
      <c r="DH1590" s="4"/>
      <c r="DI1590" s="4"/>
      <c r="DJ1590" s="4"/>
      <c r="DK1590" s="4"/>
      <c r="DL1590" s="4"/>
      <c r="DM1590" s="4"/>
      <c r="DN1590" s="4"/>
      <c r="DO1590" s="4"/>
      <c r="DP1590" s="4"/>
      <c r="DQ1590" s="4"/>
      <c r="DR1590" s="4"/>
    </row>
    <row r="1591" spans="1:122" x14ac:dyDescent="0.25">
      <c r="A1591" s="2" t="s">
        <v>15</v>
      </c>
      <c r="B1591" s="2" t="str">
        <f>"FES1162770000"</f>
        <v>FES1162770000</v>
      </c>
      <c r="C1591" s="2" t="s">
        <v>1190</v>
      </c>
      <c r="D1591" s="2">
        <v>1</v>
      </c>
      <c r="E1591" s="2" t="str">
        <f>"2170757173"</f>
        <v>2170757173</v>
      </c>
      <c r="F1591" s="2" t="s">
        <v>17</v>
      </c>
      <c r="G1591" s="2" t="s">
        <v>18</v>
      </c>
      <c r="H1591" s="2" t="s">
        <v>78</v>
      </c>
      <c r="I1591" s="2" t="s">
        <v>79</v>
      </c>
      <c r="J1591" s="2" t="s">
        <v>81</v>
      </c>
      <c r="K1591" s="2" t="s">
        <v>1266</v>
      </c>
      <c r="L1591" s="3">
        <v>0.49791666666666662</v>
      </c>
      <c r="M1591" s="2" t="s">
        <v>1337</v>
      </c>
      <c r="N1591" s="2" t="s">
        <v>500</v>
      </c>
      <c r="O1591" s="2"/>
      <c r="P1591" s="4"/>
      <c r="Q1591" s="4"/>
      <c r="R1591" s="4"/>
      <c r="S1591" s="4"/>
      <c r="T1591" s="4"/>
      <c r="U1591" s="4"/>
      <c r="V1591" s="4"/>
      <c r="W1591" s="4"/>
      <c r="X1591" s="4"/>
      <c r="Y1591" s="4"/>
      <c r="Z1591" s="4"/>
      <c r="AA1591" s="4"/>
      <c r="AB1591" s="4"/>
      <c r="AC1591" s="4"/>
      <c r="AD1591" s="4"/>
      <c r="AE1591" s="4"/>
      <c r="AF1591" s="4"/>
      <c r="AG1591" s="4"/>
      <c r="AH1591" s="4"/>
      <c r="AI1591" s="4"/>
      <c r="AJ1591" s="4"/>
      <c r="AK1591" s="4"/>
      <c r="AL1591" s="4"/>
      <c r="AM1591" s="4"/>
      <c r="AN1591" s="4"/>
      <c r="AO1591" s="4"/>
      <c r="AP1591" s="4"/>
      <c r="AQ1591" s="4"/>
      <c r="AR1591" s="4"/>
      <c r="AS1591" s="4"/>
      <c r="AT1591" s="4"/>
      <c r="AU1591" s="4"/>
      <c r="AV1591" s="4"/>
      <c r="AW1591" s="4"/>
      <c r="AX1591" s="4"/>
      <c r="AY1591" s="4"/>
      <c r="AZ1591" s="4"/>
      <c r="BA1591" s="4"/>
      <c r="BB1591" s="4"/>
      <c r="BC1591" s="4"/>
      <c r="BD1591" s="4"/>
      <c r="BE1591" s="4"/>
      <c r="BF1591" s="4"/>
      <c r="BG1591" s="4"/>
      <c r="BH1591" s="4"/>
      <c r="BI1591" s="4"/>
      <c r="BJ1591" s="4"/>
      <c r="BK1591" s="4"/>
      <c r="BL1591" s="4"/>
      <c r="BM1591" s="4"/>
      <c r="BN1591" s="4"/>
      <c r="BO1591" s="4"/>
      <c r="BP1591" s="4"/>
      <c r="BQ1591" s="4"/>
      <c r="BR1591" s="4"/>
      <c r="BS1591" s="4"/>
      <c r="BT1591" s="4"/>
      <c r="BU1591" s="4"/>
      <c r="BV1591" s="4"/>
      <c r="BW1591" s="4"/>
      <c r="BX1591" s="4"/>
      <c r="BY1591" s="4"/>
      <c r="BZ1591" s="4"/>
      <c r="CA1591" s="4"/>
      <c r="CB1591" s="4"/>
      <c r="CC1591" s="4"/>
      <c r="CD1591" s="4"/>
      <c r="CE1591" s="4"/>
      <c r="CF1591" s="4"/>
      <c r="CG1591" s="4"/>
      <c r="CH1591" s="4"/>
      <c r="CI1591" s="4"/>
      <c r="CJ1591" s="4"/>
      <c r="CK1591" s="4"/>
      <c r="CL1591" s="4"/>
      <c r="CM1591" s="4"/>
      <c r="CN1591" s="4"/>
      <c r="CO1591" s="4"/>
      <c r="CP1591" s="4"/>
      <c r="CQ1591" s="4"/>
      <c r="CR1591" s="4"/>
      <c r="CS1591" s="4"/>
      <c r="CT1591" s="4"/>
      <c r="CU1591" s="4"/>
      <c r="CV1591" s="4"/>
      <c r="CW1591" s="4"/>
      <c r="CX1591" s="4"/>
      <c r="CY1591" s="4"/>
      <c r="CZ1591" s="4"/>
      <c r="DA1591" s="4"/>
      <c r="DB1591" s="4"/>
      <c r="DC1591" s="4"/>
      <c r="DD1591" s="4"/>
      <c r="DE1591" s="4"/>
      <c r="DF1591" s="4"/>
      <c r="DG1591" s="4"/>
      <c r="DH1591" s="4"/>
      <c r="DI1591" s="4"/>
      <c r="DJ1591" s="4"/>
      <c r="DK1591" s="4"/>
      <c r="DL1591" s="4"/>
      <c r="DM1591" s="4"/>
      <c r="DN1591" s="4"/>
      <c r="DO1591" s="4"/>
      <c r="DP1591" s="4"/>
      <c r="DQ1591" s="4"/>
      <c r="DR1591" s="4"/>
    </row>
    <row r="1592" spans="1:122" x14ac:dyDescent="0.25">
      <c r="A1592" s="2" t="s">
        <v>15</v>
      </c>
      <c r="B1592" s="2" t="str">
        <f>"FES1162769734"</f>
        <v>FES1162769734</v>
      </c>
      <c r="C1592" s="2" t="s">
        <v>1190</v>
      </c>
      <c r="D1592" s="2">
        <v>1</v>
      </c>
      <c r="E1592" s="2" t="str">
        <f>"2170756910"</f>
        <v>2170756910</v>
      </c>
      <c r="F1592" s="2" t="s">
        <v>17</v>
      </c>
      <c r="G1592" s="2" t="s">
        <v>18</v>
      </c>
      <c r="H1592" s="2" t="s">
        <v>88</v>
      </c>
      <c r="I1592" s="2" t="s">
        <v>612</v>
      </c>
      <c r="J1592" s="2" t="s">
        <v>1126</v>
      </c>
      <c r="K1592" s="2" t="s">
        <v>1266</v>
      </c>
      <c r="L1592" s="3">
        <v>0.63541666666666663</v>
      </c>
      <c r="M1592" s="2" t="s">
        <v>941</v>
      </c>
      <c r="N1592" s="2" t="s">
        <v>500</v>
      </c>
      <c r="O1592" s="2"/>
      <c r="P1592" s="4"/>
      <c r="Q1592" s="4"/>
      <c r="R1592" s="4"/>
      <c r="S1592" s="4"/>
      <c r="T1592" s="4"/>
      <c r="U1592" s="4"/>
      <c r="V1592" s="4"/>
      <c r="W1592" s="4"/>
      <c r="X1592" s="4"/>
      <c r="Y1592" s="4"/>
      <c r="Z1592" s="4"/>
      <c r="AA1592" s="4"/>
      <c r="AB1592" s="4"/>
      <c r="AC1592" s="4"/>
      <c r="AD1592" s="4"/>
      <c r="AE1592" s="4"/>
      <c r="AF1592" s="4"/>
      <c r="AG1592" s="4"/>
      <c r="AH1592" s="4"/>
      <c r="AI1592" s="4"/>
      <c r="AJ1592" s="4"/>
      <c r="AK1592" s="4"/>
      <c r="AL1592" s="4"/>
      <c r="AM1592" s="4"/>
      <c r="AN1592" s="4"/>
      <c r="AO1592" s="4"/>
      <c r="AP1592" s="4"/>
      <c r="AQ1592" s="4"/>
      <c r="AR1592" s="4"/>
      <c r="AS1592" s="4"/>
      <c r="AT1592" s="4"/>
      <c r="AU1592" s="4"/>
      <c r="AV1592" s="4"/>
      <c r="AW1592" s="4"/>
      <c r="AX1592" s="4"/>
      <c r="AY1592" s="4"/>
      <c r="AZ1592" s="4"/>
      <c r="BA1592" s="4"/>
      <c r="BB1592" s="4"/>
      <c r="BC1592" s="4"/>
      <c r="BD1592" s="4"/>
      <c r="BE1592" s="4"/>
      <c r="BF1592" s="4"/>
      <c r="BG1592" s="4"/>
      <c r="BH1592" s="4"/>
      <c r="BI1592" s="4"/>
      <c r="BJ1592" s="4"/>
      <c r="BK1592" s="4"/>
      <c r="BL1592" s="4"/>
      <c r="BM1592" s="4"/>
      <c r="BN1592" s="4"/>
      <c r="BO1592" s="4"/>
      <c r="BP1592" s="4"/>
      <c r="BQ1592" s="4"/>
      <c r="BR1592" s="4"/>
      <c r="BS1592" s="4"/>
      <c r="BT1592" s="4"/>
      <c r="BU1592" s="4"/>
      <c r="BV1592" s="4"/>
      <c r="BW1592" s="4"/>
      <c r="BX1592" s="4"/>
      <c r="BY1592" s="4"/>
      <c r="BZ1592" s="4"/>
      <c r="CA1592" s="4"/>
      <c r="CB1592" s="4"/>
      <c r="CC1592" s="4"/>
      <c r="CD1592" s="4"/>
      <c r="CE1592" s="4"/>
      <c r="CF1592" s="4"/>
      <c r="CG1592" s="4"/>
      <c r="CH1592" s="4"/>
      <c r="CI1592" s="4"/>
      <c r="CJ1592" s="4"/>
      <c r="CK1592" s="4"/>
      <c r="CL1592" s="4"/>
      <c r="CM1592" s="4"/>
      <c r="CN1592" s="4"/>
      <c r="CO1592" s="4"/>
      <c r="CP1592" s="4"/>
      <c r="CQ1592" s="4"/>
      <c r="CR1592" s="4"/>
      <c r="CS1592" s="4"/>
      <c r="CT1592" s="4"/>
      <c r="CU1592" s="4"/>
      <c r="CV1592" s="4"/>
      <c r="CW1592" s="4"/>
      <c r="CX1592" s="4"/>
      <c r="CY1592" s="4"/>
      <c r="CZ1592" s="4"/>
      <c r="DA1592" s="4"/>
      <c r="DB1592" s="4"/>
      <c r="DC1592" s="4"/>
      <c r="DD1592" s="4"/>
      <c r="DE1592" s="4"/>
      <c r="DF1592" s="4"/>
      <c r="DG1592" s="4"/>
      <c r="DH1592" s="4"/>
      <c r="DI1592" s="4"/>
      <c r="DJ1592" s="4"/>
      <c r="DK1592" s="4"/>
      <c r="DL1592" s="4"/>
      <c r="DM1592" s="4"/>
      <c r="DN1592" s="4"/>
      <c r="DO1592" s="4"/>
      <c r="DP1592" s="4"/>
      <c r="DQ1592" s="4"/>
      <c r="DR1592" s="4"/>
    </row>
    <row r="1593" spans="1:122" x14ac:dyDescent="0.25">
      <c r="A1593" s="2" t="s">
        <v>15</v>
      </c>
      <c r="B1593" s="2" t="str">
        <f>"FES1162769638"</f>
        <v>FES1162769638</v>
      </c>
      <c r="C1593" s="2" t="s">
        <v>1190</v>
      </c>
      <c r="D1593" s="2">
        <v>1</v>
      </c>
      <c r="E1593" s="2" t="str">
        <f>"2170756720"</f>
        <v>2170756720</v>
      </c>
      <c r="F1593" s="2" t="s">
        <v>17</v>
      </c>
      <c r="G1593" s="2" t="s">
        <v>18</v>
      </c>
      <c r="H1593" s="2" t="s">
        <v>18</v>
      </c>
      <c r="I1593" s="2" t="s">
        <v>63</v>
      </c>
      <c r="J1593" s="2" t="s">
        <v>899</v>
      </c>
      <c r="K1593" s="2" t="s">
        <v>1266</v>
      </c>
      <c r="L1593" s="3">
        <v>0.43055555555555558</v>
      </c>
      <c r="M1593" s="2" t="s">
        <v>1338</v>
      </c>
      <c r="N1593" s="2" t="s">
        <v>500</v>
      </c>
      <c r="O1593" s="2"/>
      <c r="P1593" s="4"/>
      <c r="Q1593" s="4"/>
      <c r="R1593" s="4"/>
      <c r="S1593" s="4"/>
      <c r="T1593" s="4"/>
      <c r="U1593" s="4"/>
      <c r="V1593" s="4"/>
      <c r="W1593" s="4"/>
      <c r="X1593" s="4"/>
      <c r="Y1593" s="4"/>
      <c r="Z1593" s="4"/>
      <c r="AA1593" s="4"/>
      <c r="AB1593" s="4"/>
      <c r="AC1593" s="4"/>
      <c r="AD1593" s="4"/>
      <c r="AE1593" s="4"/>
      <c r="AF1593" s="4"/>
      <c r="AG1593" s="4"/>
      <c r="AH1593" s="4"/>
      <c r="AI1593" s="4"/>
      <c r="AJ1593" s="4"/>
      <c r="AK1593" s="4"/>
      <c r="AL1593" s="4"/>
      <c r="AM1593" s="4"/>
      <c r="AN1593" s="4"/>
      <c r="AO1593" s="4"/>
      <c r="AP1593" s="4"/>
      <c r="AQ1593" s="4"/>
      <c r="AR1593" s="4"/>
      <c r="AS1593" s="4"/>
      <c r="AT1593" s="4"/>
      <c r="AU1593" s="4"/>
      <c r="AV1593" s="4"/>
      <c r="AW1593" s="4"/>
      <c r="AX1593" s="4"/>
      <c r="AY1593" s="4"/>
      <c r="AZ1593" s="4"/>
      <c r="BA1593" s="4"/>
      <c r="BB1593" s="4"/>
      <c r="BC1593" s="4"/>
      <c r="BD1593" s="4"/>
      <c r="BE1593" s="4"/>
      <c r="BF1593" s="4"/>
      <c r="BG1593" s="4"/>
      <c r="BH1593" s="4"/>
      <c r="BI1593" s="4"/>
      <c r="BJ1593" s="4"/>
      <c r="BK1593" s="4"/>
      <c r="BL1593" s="4"/>
      <c r="BM1593" s="4"/>
      <c r="BN1593" s="4"/>
      <c r="BO1593" s="4"/>
      <c r="BP1593" s="4"/>
      <c r="BQ1593" s="4"/>
      <c r="BR1593" s="4"/>
      <c r="BS1593" s="4"/>
      <c r="BT1593" s="4"/>
      <c r="BU1593" s="4"/>
      <c r="BV1593" s="4"/>
      <c r="BW1593" s="4"/>
      <c r="BX1593" s="4"/>
      <c r="BY1593" s="4"/>
      <c r="BZ1593" s="4"/>
      <c r="CA1593" s="4"/>
      <c r="CB1593" s="4"/>
      <c r="CC1593" s="4"/>
      <c r="CD1593" s="4"/>
      <c r="CE1593" s="4"/>
      <c r="CF1593" s="4"/>
      <c r="CG1593" s="4"/>
      <c r="CH1593" s="4"/>
      <c r="CI1593" s="4"/>
      <c r="CJ1593" s="4"/>
      <c r="CK1593" s="4"/>
      <c r="CL1593" s="4"/>
      <c r="CM1593" s="4"/>
      <c r="CN1593" s="4"/>
      <c r="CO1593" s="4"/>
      <c r="CP1593" s="4"/>
      <c r="CQ1593" s="4"/>
      <c r="CR1593" s="4"/>
      <c r="CS1593" s="4"/>
      <c r="CT1593" s="4"/>
      <c r="CU1593" s="4"/>
      <c r="CV1593" s="4"/>
      <c r="CW1593" s="4"/>
      <c r="CX1593" s="4"/>
      <c r="CY1593" s="4"/>
      <c r="CZ1593" s="4"/>
      <c r="DA1593" s="4"/>
      <c r="DB1593" s="4"/>
      <c r="DC1593" s="4"/>
      <c r="DD1593" s="4"/>
      <c r="DE1593" s="4"/>
      <c r="DF1593" s="4"/>
      <c r="DG1593" s="4"/>
      <c r="DH1593" s="4"/>
      <c r="DI1593" s="4"/>
      <c r="DJ1593" s="4"/>
      <c r="DK1593" s="4"/>
      <c r="DL1593" s="4"/>
      <c r="DM1593" s="4"/>
      <c r="DN1593" s="4"/>
      <c r="DO1593" s="4"/>
      <c r="DP1593" s="4"/>
      <c r="DQ1593" s="4"/>
      <c r="DR1593" s="4"/>
    </row>
    <row r="1594" spans="1:122" x14ac:dyDescent="0.25">
      <c r="A1594" s="2" t="s">
        <v>15</v>
      </c>
      <c r="B1594" s="2" t="str">
        <f>"FES1162769774"</f>
        <v>FES1162769774</v>
      </c>
      <c r="C1594" s="2" t="s">
        <v>1190</v>
      </c>
      <c r="D1594" s="2">
        <v>1</v>
      </c>
      <c r="E1594" s="2" t="str">
        <f>"2170757004"</f>
        <v>2170757004</v>
      </c>
      <c r="F1594" s="2" t="s">
        <v>17</v>
      </c>
      <c r="G1594" s="2" t="s">
        <v>18</v>
      </c>
      <c r="H1594" s="2" t="s">
        <v>18</v>
      </c>
      <c r="I1594" s="2" t="s">
        <v>63</v>
      </c>
      <c r="J1594" s="2" t="s">
        <v>1287</v>
      </c>
      <c r="K1594" s="2" t="s">
        <v>1266</v>
      </c>
      <c r="L1594" s="3">
        <v>0.41319444444444442</v>
      </c>
      <c r="M1594" s="2" t="s">
        <v>1339</v>
      </c>
      <c r="N1594" s="2" t="s">
        <v>500</v>
      </c>
      <c r="O1594" s="2"/>
      <c r="P1594" s="4"/>
      <c r="Q1594" s="4"/>
      <c r="R1594" s="4"/>
      <c r="S1594" s="4"/>
      <c r="T1594" s="4"/>
      <c r="U1594" s="4"/>
      <c r="V1594" s="4"/>
      <c r="W1594" s="4"/>
      <c r="X1594" s="4"/>
      <c r="Y1594" s="4"/>
      <c r="Z1594" s="4"/>
      <c r="AA1594" s="4"/>
      <c r="AB1594" s="4"/>
      <c r="AC1594" s="4"/>
      <c r="AD1594" s="4"/>
      <c r="AE1594" s="4"/>
      <c r="AF1594" s="4"/>
      <c r="AG1594" s="4"/>
      <c r="AH1594" s="4"/>
      <c r="AI1594" s="4"/>
      <c r="AJ1594" s="4"/>
      <c r="AK1594" s="4"/>
      <c r="AL1594" s="4"/>
      <c r="AM1594" s="4"/>
      <c r="AN1594" s="4"/>
      <c r="AO1594" s="4"/>
      <c r="AP1594" s="4"/>
      <c r="AQ1594" s="4"/>
      <c r="AR1594" s="4"/>
      <c r="AS1594" s="4"/>
      <c r="AT1594" s="4"/>
      <c r="AU1594" s="4"/>
      <c r="AV1594" s="4"/>
      <c r="AW1594" s="4"/>
      <c r="AX1594" s="4"/>
      <c r="AY1594" s="4"/>
      <c r="AZ1594" s="4"/>
      <c r="BA1594" s="4"/>
      <c r="BB1594" s="4"/>
      <c r="BC1594" s="4"/>
      <c r="BD1594" s="4"/>
      <c r="BE1594" s="4"/>
      <c r="BF1594" s="4"/>
      <c r="BG1594" s="4"/>
      <c r="BH1594" s="4"/>
      <c r="BI1594" s="4"/>
      <c r="BJ1594" s="4"/>
      <c r="BK1594" s="4"/>
      <c r="BL1594" s="4"/>
      <c r="BM1594" s="4"/>
      <c r="BN1594" s="4"/>
      <c r="BO1594" s="4"/>
      <c r="BP1594" s="4"/>
      <c r="BQ1594" s="4"/>
      <c r="BR1594" s="4"/>
      <c r="BS1594" s="4"/>
      <c r="BT1594" s="4"/>
      <c r="BU1594" s="4"/>
      <c r="BV1594" s="4"/>
      <c r="BW1594" s="4"/>
      <c r="BX1594" s="4"/>
      <c r="BY1594" s="4"/>
      <c r="BZ1594" s="4"/>
      <c r="CA1594" s="4"/>
      <c r="CB1594" s="4"/>
      <c r="CC1594" s="4"/>
      <c r="CD1594" s="4"/>
      <c r="CE1594" s="4"/>
      <c r="CF1594" s="4"/>
      <c r="CG1594" s="4"/>
      <c r="CH1594" s="4"/>
      <c r="CI1594" s="4"/>
      <c r="CJ1594" s="4"/>
      <c r="CK1594" s="4"/>
      <c r="CL1594" s="4"/>
      <c r="CM1594" s="4"/>
      <c r="CN1594" s="4"/>
      <c r="CO1594" s="4"/>
      <c r="CP1594" s="4"/>
      <c r="CQ1594" s="4"/>
      <c r="CR1594" s="4"/>
      <c r="CS1594" s="4"/>
      <c r="CT1594" s="4"/>
      <c r="CU1594" s="4"/>
      <c r="CV1594" s="4"/>
      <c r="CW1594" s="4"/>
      <c r="CX1594" s="4"/>
      <c r="CY1594" s="4"/>
      <c r="CZ1594" s="4"/>
      <c r="DA1594" s="4"/>
      <c r="DB1594" s="4"/>
      <c r="DC1594" s="4"/>
      <c r="DD1594" s="4"/>
      <c r="DE1594" s="4"/>
      <c r="DF1594" s="4"/>
      <c r="DG1594" s="4"/>
      <c r="DH1594" s="4"/>
      <c r="DI1594" s="4"/>
      <c r="DJ1594" s="4"/>
      <c r="DK1594" s="4"/>
      <c r="DL1594" s="4"/>
      <c r="DM1594" s="4"/>
      <c r="DN1594" s="4"/>
      <c r="DO1594" s="4"/>
      <c r="DP1594" s="4"/>
      <c r="DQ1594" s="4"/>
      <c r="DR1594" s="4"/>
    </row>
    <row r="1595" spans="1:122" x14ac:dyDescent="0.25">
      <c r="A1595" s="2" t="s">
        <v>15</v>
      </c>
      <c r="B1595" s="2" t="str">
        <f>"FES1162769836"</f>
        <v>FES1162769836</v>
      </c>
      <c r="C1595" s="2" t="s">
        <v>1190</v>
      </c>
      <c r="D1595" s="2">
        <v>1</v>
      </c>
      <c r="E1595" s="2" t="str">
        <f>"2170757104"</f>
        <v>2170757104</v>
      </c>
      <c r="F1595" s="2" t="s">
        <v>17</v>
      </c>
      <c r="G1595" s="2" t="s">
        <v>18</v>
      </c>
      <c r="H1595" s="2" t="s">
        <v>25</v>
      </c>
      <c r="I1595" s="2" t="s">
        <v>26</v>
      </c>
      <c r="J1595" s="2" t="s">
        <v>1288</v>
      </c>
      <c r="K1595" s="2" t="s">
        <v>1266</v>
      </c>
      <c r="L1595" s="3">
        <v>0.40138888888888885</v>
      </c>
      <c r="M1595" s="2" t="s">
        <v>1340</v>
      </c>
      <c r="N1595" s="2" t="s">
        <v>500</v>
      </c>
      <c r="O1595" s="2"/>
      <c r="P1595" s="4"/>
      <c r="Q1595" s="4"/>
      <c r="R1595" s="4"/>
      <c r="S1595" s="4"/>
      <c r="T1595" s="4"/>
      <c r="U1595" s="4"/>
      <c r="V1595" s="4"/>
      <c r="W1595" s="4"/>
      <c r="X1595" s="4"/>
      <c r="Y1595" s="4"/>
      <c r="Z1595" s="4"/>
      <c r="AA1595" s="4"/>
      <c r="AB1595" s="4"/>
      <c r="AC1595" s="4"/>
      <c r="AD1595" s="4"/>
      <c r="AE1595" s="4"/>
      <c r="AF1595" s="4"/>
      <c r="AG1595" s="4"/>
      <c r="AH1595" s="4"/>
      <c r="AI1595" s="4"/>
      <c r="AJ1595" s="4"/>
      <c r="AK1595" s="4"/>
      <c r="AL1595" s="4"/>
      <c r="AM1595" s="4"/>
      <c r="AN1595" s="4"/>
      <c r="AO1595" s="4"/>
      <c r="AP1595" s="4"/>
      <c r="AQ1595" s="4"/>
      <c r="AR1595" s="4"/>
      <c r="AS1595" s="4"/>
      <c r="AT1595" s="4"/>
      <c r="AU1595" s="4"/>
      <c r="AV1595" s="4"/>
      <c r="AW1595" s="4"/>
      <c r="AX1595" s="4"/>
      <c r="AY1595" s="4"/>
      <c r="AZ1595" s="4"/>
      <c r="BA1595" s="4"/>
      <c r="BB1595" s="4"/>
      <c r="BC1595" s="4"/>
      <c r="BD1595" s="4"/>
      <c r="BE1595" s="4"/>
      <c r="BF1595" s="4"/>
      <c r="BG1595" s="4"/>
      <c r="BH1595" s="4"/>
      <c r="BI1595" s="4"/>
      <c r="BJ1595" s="4"/>
      <c r="BK1595" s="4"/>
      <c r="BL1595" s="4"/>
      <c r="BM1595" s="4"/>
      <c r="BN1595" s="4"/>
      <c r="BO1595" s="4"/>
      <c r="BP1595" s="4"/>
      <c r="BQ1595" s="4"/>
      <c r="BR1595" s="4"/>
      <c r="BS1595" s="4"/>
      <c r="BT1595" s="4"/>
      <c r="BU1595" s="4"/>
      <c r="BV1595" s="4"/>
      <c r="BW1595" s="4"/>
      <c r="BX1595" s="4"/>
      <c r="BY1595" s="4"/>
      <c r="BZ1595" s="4"/>
      <c r="CA1595" s="4"/>
      <c r="CB1595" s="4"/>
      <c r="CC1595" s="4"/>
      <c r="CD1595" s="4"/>
      <c r="CE1595" s="4"/>
      <c r="CF1595" s="4"/>
      <c r="CG1595" s="4"/>
      <c r="CH1595" s="4"/>
      <c r="CI1595" s="4"/>
      <c r="CJ1595" s="4"/>
      <c r="CK1595" s="4"/>
      <c r="CL1595" s="4"/>
      <c r="CM1595" s="4"/>
      <c r="CN1595" s="4"/>
      <c r="CO1595" s="4"/>
      <c r="CP1595" s="4"/>
      <c r="CQ1595" s="4"/>
      <c r="CR1595" s="4"/>
      <c r="CS1595" s="4"/>
      <c r="CT1595" s="4"/>
      <c r="CU1595" s="4"/>
      <c r="CV1595" s="4"/>
      <c r="CW1595" s="4"/>
      <c r="CX1595" s="4"/>
      <c r="CY1595" s="4"/>
      <c r="CZ1595" s="4"/>
      <c r="DA1595" s="4"/>
      <c r="DB1595" s="4"/>
      <c r="DC1595" s="4"/>
      <c r="DD1595" s="4"/>
      <c r="DE1595" s="4"/>
      <c r="DF1595" s="4"/>
      <c r="DG1595" s="4"/>
      <c r="DH1595" s="4"/>
      <c r="DI1595" s="4"/>
      <c r="DJ1595" s="4"/>
      <c r="DK1595" s="4"/>
      <c r="DL1595" s="4"/>
      <c r="DM1595" s="4"/>
      <c r="DN1595" s="4"/>
      <c r="DO1595" s="4"/>
      <c r="DP1595" s="4"/>
      <c r="DQ1595" s="4"/>
      <c r="DR1595" s="4"/>
    </row>
    <row r="1596" spans="1:122" x14ac:dyDescent="0.25">
      <c r="A1596" s="2" t="s">
        <v>15</v>
      </c>
      <c r="B1596" s="2" t="str">
        <f>"FES1162768903"</f>
        <v>FES1162768903</v>
      </c>
      <c r="C1596" s="2" t="s">
        <v>1190</v>
      </c>
      <c r="D1596" s="2">
        <v>1</v>
      </c>
      <c r="E1596" s="2" t="str">
        <f>"2170756489"</f>
        <v>2170756489</v>
      </c>
      <c r="F1596" s="2" t="s">
        <v>17</v>
      </c>
      <c r="G1596" s="2" t="s">
        <v>18</v>
      </c>
      <c r="H1596" s="2" t="s">
        <v>18</v>
      </c>
      <c r="I1596" s="2" t="s">
        <v>63</v>
      </c>
      <c r="J1596" s="2" t="s">
        <v>93</v>
      </c>
      <c r="K1596" s="2" t="s">
        <v>1266</v>
      </c>
      <c r="L1596" s="3">
        <v>0.35625000000000001</v>
      </c>
      <c r="M1596" s="2" t="s">
        <v>736</v>
      </c>
      <c r="N1596" s="2" t="s">
        <v>500</v>
      </c>
      <c r="O1596" s="2"/>
      <c r="P1596" s="4"/>
      <c r="Q1596" s="4"/>
      <c r="R1596" s="4"/>
      <c r="S1596" s="4"/>
      <c r="T1596" s="4"/>
      <c r="U1596" s="4"/>
      <c r="V1596" s="4"/>
      <c r="W1596" s="4"/>
      <c r="X1596" s="4"/>
      <c r="Y1596" s="4"/>
      <c r="Z1596" s="4"/>
      <c r="AA1596" s="4"/>
      <c r="AB1596" s="4"/>
      <c r="AC1596" s="4"/>
      <c r="AD1596" s="4"/>
      <c r="AE1596" s="4"/>
      <c r="AF1596" s="4"/>
      <c r="AG1596" s="4"/>
      <c r="AH1596" s="4"/>
      <c r="AI1596" s="4"/>
      <c r="AJ1596" s="4"/>
      <c r="AK1596" s="4"/>
      <c r="AL1596" s="4"/>
      <c r="AM1596" s="4"/>
      <c r="AN1596" s="4"/>
      <c r="AO1596" s="4"/>
      <c r="AP1596" s="4"/>
      <c r="AQ1596" s="4"/>
      <c r="AR1596" s="4"/>
      <c r="AS1596" s="4"/>
      <c r="AT1596" s="4"/>
      <c r="AU1596" s="4"/>
      <c r="AV1596" s="4"/>
      <c r="AW1596" s="4"/>
      <c r="AX1596" s="4"/>
      <c r="AY1596" s="4"/>
      <c r="AZ1596" s="4"/>
      <c r="BA1596" s="4"/>
      <c r="BB1596" s="4"/>
      <c r="BC1596" s="4"/>
      <c r="BD1596" s="4"/>
      <c r="BE1596" s="4"/>
      <c r="BF1596" s="4"/>
      <c r="BG1596" s="4"/>
      <c r="BH1596" s="4"/>
      <c r="BI1596" s="4"/>
      <c r="BJ1596" s="4"/>
      <c r="BK1596" s="4"/>
      <c r="BL1596" s="4"/>
      <c r="BM1596" s="4"/>
      <c r="BN1596" s="4"/>
      <c r="BO1596" s="4"/>
      <c r="BP1596" s="4"/>
      <c r="BQ1596" s="4"/>
      <c r="BR1596" s="4"/>
      <c r="BS1596" s="4"/>
      <c r="BT1596" s="4"/>
      <c r="BU1596" s="4"/>
      <c r="BV1596" s="4"/>
      <c r="BW1596" s="4"/>
      <c r="BX1596" s="4"/>
      <c r="BY1596" s="4"/>
      <c r="BZ1596" s="4"/>
      <c r="CA1596" s="4"/>
      <c r="CB1596" s="4"/>
      <c r="CC1596" s="4"/>
      <c r="CD1596" s="4"/>
      <c r="CE1596" s="4"/>
      <c r="CF1596" s="4"/>
      <c r="CG1596" s="4"/>
      <c r="CH1596" s="4"/>
      <c r="CI1596" s="4"/>
      <c r="CJ1596" s="4"/>
      <c r="CK1596" s="4"/>
      <c r="CL1596" s="4"/>
      <c r="CM1596" s="4"/>
      <c r="CN1596" s="4"/>
      <c r="CO1596" s="4"/>
      <c r="CP1596" s="4"/>
      <c r="CQ1596" s="4"/>
      <c r="CR1596" s="4"/>
      <c r="CS1596" s="4"/>
      <c r="CT1596" s="4"/>
      <c r="CU1596" s="4"/>
      <c r="CV1596" s="4"/>
      <c r="CW1596" s="4"/>
      <c r="CX1596" s="4"/>
      <c r="CY1596" s="4"/>
      <c r="CZ1596" s="4"/>
      <c r="DA1596" s="4"/>
      <c r="DB1596" s="4"/>
      <c r="DC1596" s="4"/>
      <c r="DD1596" s="4"/>
      <c r="DE1596" s="4"/>
      <c r="DF1596" s="4"/>
      <c r="DG1596" s="4"/>
      <c r="DH1596" s="4"/>
      <c r="DI1596" s="4"/>
      <c r="DJ1596" s="4"/>
      <c r="DK1596" s="4"/>
      <c r="DL1596" s="4"/>
      <c r="DM1596" s="4"/>
      <c r="DN1596" s="4"/>
      <c r="DO1596" s="4"/>
      <c r="DP1596" s="4"/>
      <c r="DQ1596" s="4"/>
      <c r="DR1596" s="4"/>
    </row>
    <row r="1597" spans="1:122" x14ac:dyDescent="0.25">
      <c r="A1597" s="2" t="s">
        <v>15</v>
      </c>
      <c r="B1597" s="2" t="str">
        <f>"FES1162769739"</f>
        <v>FES1162769739</v>
      </c>
      <c r="C1597" s="2" t="s">
        <v>1190</v>
      </c>
      <c r="D1597" s="2">
        <v>1</v>
      </c>
      <c r="E1597" s="2" t="str">
        <f>"2170756918"</f>
        <v>2170756918</v>
      </c>
      <c r="F1597" s="2" t="s">
        <v>17</v>
      </c>
      <c r="G1597" s="2" t="s">
        <v>18</v>
      </c>
      <c r="H1597" s="2" t="s">
        <v>484</v>
      </c>
      <c r="I1597" s="2" t="s">
        <v>485</v>
      </c>
      <c r="J1597" s="2" t="s">
        <v>1289</v>
      </c>
      <c r="K1597" s="2" t="s">
        <v>1266</v>
      </c>
      <c r="L1597" s="3">
        <v>0.43055555555555558</v>
      </c>
      <c r="M1597" s="2" t="s">
        <v>1341</v>
      </c>
      <c r="N1597" s="2" t="s">
        <v>500</v>
      </c>
      <c r="O1597" s="2"/>
      <c r="P1597" s="4"/>
      <c r="Q1597" s="4"/>
      <c r="R1597" s="4"/>
      <c r="S1597" s="4"/>
      <c r="T1597" s="4"/>
      <c r="U1597" s="4"/>
      <c r="V1597" s="4"/>
      <c r="W1597" s="4"/>
      <c r="X1597" s="4"/>
      <c r="Y1597" s="4"/>
      <c r="Z1597" s="4"/>
      <c r="AA1597" s="4"/>
      <c r="AB1597" s="4"/>
      <c r="AC1597" s="4"/>
      <c r="AD1597" s="4"/>
      <c r="AE1597" s="4"/>
      <c r="AF1597" s="4"/>
      <c r="AG1597" s="4"/>
      <c r="AH1597" s="4"/>
      <c r="AI1597" s="4"/>
      <c r="AJ1597" s="4"/>
      <c r="AK1597" s="4"/>
      <c r="AL1597" s="4"/>
      <c r="AM1597" s="4"/>
      <c r="AN1597" s="4"/>
      <c r="AO1597" s="4"/>
      <c r="AP1597" s="4"/>
      <c r="AQ1597" s="4"/>
      <c r="AR1597" s="4"/>
      <c r="AS1597" s="4"/>
      <c r="AT1597" s="4"/>
      <c r="AU1597" s="4"/>
      <c r="AV1597" s="4"/>
      <c r="AW1597" s="4"/>
      <c r="AX1597" s="4"/>
      <c r="AY1597" s="4"/>
      <c r="AZ1597" s="4"/>
      <c r="BA1597" s="4"/>
      <c r="BB1597" s="4"/>
      <c r="BC1597" s="4"/>
      <c r="BD1597" s="4"/>
      <c r="BE1597" s="4"/>
      <c r="BF1597" s="4"/>
      <c r="BG1597" s="4"/>
      <c r="BH1597" s="4"/>
      <c r="BI1597" s="4"/>
      <c r="BJ1597" s="4"/>
      <c r="BK1597" s="4"/>
      <c r="BL1597" s="4"/>
      <c r="BM1597" s="4"/>
      <c r="BN1597" s="4"/>
      <c r="BO1597" s="4"/>
      <c r="BP1597" s="4"/>
      <c r="BQ1597" s="4"/>
      <c r="BR1597" s="4"/>
      <c r="BS1597" s="4"/>
      <c r="BT1597" s="4"/>
      <c r="BU1597" s="4"/>
      <c r="BV1597" s="4"/>
      <c r="BW1597" s="4"/>
      <c r="BX1597" s="4"/>
      <c r="BY1597" s="4"/>
      <c r="BZ1597" s="4"/>
      <c r="CA1597" s="4"/>
      <c r="CB1597" s="4"/>
      <c r="CC1597" s="4"/>
      <c r="CD1597" s="4"/>
      <c r="CE1597" s="4"/>
      <c r="CF1597" s="4"/>
      <c r="CG1597" s="4"/>
      <c r="CH1597" s="4"/>
      <c r="CI1597" s="4"/>
      <c r="CJ1597" s="4"/>
      <c r="CK1597" s="4"/>
      <c r="CL1597" s="4"/>
      <c r="CM1597" s="4"/>
      <c r="CN1597" s="4"/>
      <c r="CO1597" s="4"/>
      <c r="CP1597" s="4"/>
      <c r="CQ1597" s="4"/>
      <c r="CR1597" s="4"/>
      <c r="CS1597" s="4"/>
      <c r="CT1597" s="4"/>
      <c r="CU1597" s="4"/>
      <c r="CV1597" s="4"/>
      <c r="CW1597" s="4"/>
      <c r="CX1597" s="4"/>
      <c r="CY1597" s="4"/>
      <c r="CZ1597" s="4"/>
      <c r="DA1597" s="4"/>
      <c r="DB1597" s="4"/>
      <c r="DC1597" s="4"/>
      <c r="DD1597" s="4"/>
      <c r="DE1597" s="4"/>
      <c r="DF1597" s="4"/>
      <c r="DG1597" s="4"/>
      <c r="DH1597" s="4"/>
      <c r="DI1597" s="4"/>
      <c r="DJ1597" s="4"/>
      <c r="DK1597" s="4"/>
      <c r="DL1597" s="4"/>
      <c r="DM1597" s="4"/>
      <c r="DN1597" s="4"/>
      <c r="DO1597" s="4"/>
      <c r="DP1597" s="4"/>
      <c r="DQ1597" s="4"/>
      <c r="DR1597" s="4"/>
    </row>
    <row r="1598" spans="1:122" x14ac:dyDescent="0.25">
      <c r="A1598" s="2" t="s">
        <v>15</v>
      </c>
      <c r="B1598" s="2" t="str">
        <f>"FES1162769813"</f>
        <v>FES1162769813</v>
      </c>
      <c r="C1598" s="2" t="s">
        <v>1190</v>
      </c>
      <c r="D1598" s="2">
        <v>1</v>
      </c>
      <c r="E1598" s="2" t="str">
        <f>"2170757068"</f>
        <v>2170757068</v>
      </c>
      <c r="F1598" s="2" t="s">
        <v>17</v>
      </c>
      <c r="G1598" s="2" t="s">
        <v>18</v>
      </c>
      <c r="H1598" s="2" t="s">
        <v>18</v>
      </c>
      <c r="I1598" s="2" t="s">
        <v>46</v>
      </c>
      <c r="J1598" s="2" t="s">
        <v>1290</v>
      </c>
      <c r="K1598" s="2" t="s">
        <v>1266</v>
      </c>
      <c r="L1598" s="3">
        <v>0.2951388888888889</v>
      </c>
      <c r="M1598" s="2" t="s">
        <v>1342</v>
      </c>
      <c r="N1598" s="2" t="s">
        <v>500</v>
      </c>
      <c r="O1598" s="2"/>
      <c r="P1598" s="4"/>
      <c r="Q1598" s="4"/>
      <c r="R1598" s="4"/>
      <c r="S1598" s="4"/>
      <c r="T1598" s="4"/>
      <c r="U1598" s="4"/>
      <c r="V1598" s="4"/>
      <c r="W1598" s="4"/>
      <c r="X1598" s="4"/>
      <c r="Y1598" s="4"/>
      <c r="Z1598" s="4"/>
      <c r="AA1598" s="4"/>
      <c r="AB1598" s="4"/>
      <c r="AC1598" s="4"/>
      <c r="AD1598" s="4"/>
      <c r="AE1598" s="4"/>
      <c r="AF1598" s="4"/>
      <c r="AG1598" s="4"/>
      <c r="AH1598" s="4"/>
      <c r="AI1598" s="4"/>
      <c r="AJ1598" s="4"/>
      <c r="AK1598" s="4"/>
      <c r="AL1598" s="4"/>
      <c r="AM1598" s="4"/>
      <c r="AN1598" s="4"/>
      <c r="AO1598" s="4"/>
      <c r="AP1598" s="4"/>
      <c r="AQ1598" s="4"/>
      <c r="AR1598" s="4"/>
      <c r="AS1598" s="4"/>
      <c r="AT1598" s="4"/>
      <c r="AU1598" s="4"/>
      <c r="AV1598" s="4"/>
      <c r="AW1598" s="4"/>
      <c r="AX1598" s="4"/>
      <c r="AY1598" s="4"/>
      <c r="AZ1598" s="4"/>
      <c r="BA1598" s="4"/>
      <c r="BB1598" s="4"/>
      <c r="BC1598" s="4"/>
      <c r="BD1598" s="4"/>
      <c r="BE1598" s="4"/>
      <c r="BF1598" s="4"/>
      <c r="BG1598" s="4"/>
      <c r="BH1598" s="4"/>
      <c r="BI1598" s="4"/>
      <c r="BJ1598" s="4"/>
      <c r="BK1598" s="4"/>
      <c r="BL1598" s="4"/>
      <c r="BM1598" s="4"/>
      <c r="BN1598" s="4"/>
      <c r="BO1598" s="4"/>
      <c r="BP1598" s="4"/>
      <c r="BQ1598" s="4"/>
      <c r="BR1598" s="4"/>
      <c r="BS1598" s="4"/>
      <c r="BT1598" s="4"/>
      <c r="BU1598" s="4"/>
      <c r="BV1598" s="4"/>
      <c r="BW1598" s="4"/>
      <c r="BX1598" s="4"/>
      <c r="BY1598" s="4"/>
      <c r="BZ1598" s="4"/>
      <c r="CA1598" s="4"/>
      <c r="CB1598" s="4"/>
      <c r="CC1598" s="4"/>
      <c r="CD1598" s="4"/>
      <c r="CE1598" s="4"/>
      <c r="CF1598" s="4"/>
      <c r="CG1598" s="4"/>
      <c r="CH1598" s="4"/>
      <c r="CI1598" s="4"/>
      <c r="CJ1598" s="4"/>
      <c r="CK1598" s="4"/>
      <c r="CL1598" s="4"/>
      <c r="CM1598" s="4"/>
      <c r="CN1598" s="4"/>
      <c r="CO1598" s="4"/>
      <c r="CP1598" s="4"/>
      <c r="CQ1598" s="4"/>
      <c r="CR1598" s="4"/>
      <c r="CS1598" s="4"/>
      <c r="CT1598" s="4"/>
      <c r="CU1598" s="4"/>
      <c r="CV1598" s="4"/>
      <c r="CW1598" s="4"/>
      <c r="CX1598" s="4"/>
      <c r="CY1598" s="4"/>
      <c r="CZ1598" s="4"/>
      <c r="DA1598" s="4"/>
      <c r="DB1598" s="4"/>
      <c r="DC1598" s="4"/>
      <c r="DD1598" s="4"/>
      <c r="DE1598" s="4"/>
      <c r="DF1598" s="4"/>
      <c r="DG1598" s="4"/>
      <c r="DH1598" s="4"/>
      <c r="DI1598" s="4"/>
      <c r="DJ1598" s="4"/>
      <c r="DK1598" s="4"/>
      <c r="DL1598" s="4"/>
      <c r="DM1598" s="4"/>
      <c r="DN1598" s="4"/>
      <c r="DO1598" s="4"/>
      <c r="DP1598" s="4"/>
      <c r="DQ1598" s="4"/>
      <c r="DR1598" s="4"/>
    </row>
    <row r="1599" spans="1:122" x14ac:dyDescent="0.25">
      <c r="A1599" s="2" t="s">
        <v>15</v>
      </c>
      <c r="B1599" s="2" t="str">
        <f>"FES1162769820"</f>
        <v>FES1162769820</v>
      </c>
      <c r="C1599" s="2" t="s">
        <v>1190</v>
      </c>
      <c r="D1599" s="2">
        <v>1</v>
      </c>
      <c r="E1599" s="2" t="str">
        <f>"2170757078"</f>
        <v>2170757078</v>
      </c>
      <c r="F1599" s="2" t="s">
        <v>17</v>
      </c>
      <c r="G1599" s="2" t="s">
        <v>18</v>
      </c>
      <c r="H1599" s="2" t="s">
        <v>19</v>
      </c>
      <c r="I1599" s="2" t="s">
        <v>20</v>
      </c>
      <c r="J1599" s="2" t="s">
        <v>21</v>
      </c>
      <c r="K1599" s="2" t="s">
        <v>1266</v>
      </c>
      <c r="L1599" s="3">
        <v>0.36458333333333331</v>
      </c>
      <c r="M1599" s="2" t="s">
        <v>682</v>
      </c>
      <c r="N1599" s="2" t="s">
        <v>500</v>
      </c>
      <c r="O1599" s="2"/>
      <c r="P1599" s="4"/>
      <c r="Q1599" s="4"/>
      <c r="R1599" s="4"/>
      <c r="S1599" s="4"/>
      <c r="T1599" s="4"/>
      <c r="U1599" s="4"/>
      <c r="V1599" s="4"/>
      <c r="W1599" s="4"/>
      <c r="X1599" s="4"/>
      <c r="Y1599" s="4"/>
      <c r="Z1599" s="4"/>
      <c r="AA1599" s="4"/>
      <c r="AB1599" s="4"/>
      <c r="AC1599" s="4"/>
      <c r="AD1599" s="4"/>
      <c r="AE1599" s="4"/>
      <c r="AF1599" s="4"/>
      <c r="AG1599" s="4"/>
      <c r="AH1599" s="4"/>
      <c r="AI1599" s="4"/>
      <c r="AJ1599" s="4"/>
      <c r="AK1599" s="4"/>
      <c r="AL1599" s="4"/>
      <c r="AM1599" s="4"/>
      <c r="AN1599" s="4"/>
      <c r="AO1599" s="4"/>
      <c r="AP1599" s="4"/>
      <c r="AQ1599" s="4"/>
      <c r="AR1599" s="4"/>
      <c r="AS1599" s="4"/>
      <c r="AT1599" s="4"/>
      <c r="AU1599" s="4"/>
      <c r="AV1599" s="4"/>
      <c r="AW1599" s="4"/>
      <c r="AX1599" s="4"/>
      <c r="AY1599" s="4"/>
      <c r="AZ1599" s="4"/>
      <c r="BA1599" s="4"/>
      <c r="BB1599" s="4"/>
      <c r="BC1599" s="4"/>
      <c r="BD1599" s="4"/>
      <c r="BE1599" s="4"/>
      <c r="BF1599" s="4"/>
      <c r="BG1599" s="4"/>
      <c r="BH1599" s="4"/>
      <c r="BI1599" s="4"/>
      <c r="BJ1599" s="4"/>
      <c r="BK1599" s="4"/>
      <c r="BL1599" s="4"/>
      <c r="BM1599" s="4"/>
      <c r="BN1599" s="4"/>
      <c r="BO1599" s="4"/>
      <c r="BP1599" s="4"/>
      <c r="BQ1599" s="4"/>
      <c r="BR1599" s="4"/>
      <c r="BS1599" s="4"/>
      <c r="BT1599" s="4"/>
      <c r="BU1599" s="4"/>
      <c r="BV1599" s="4"/>
      <c r="BW1599" s="4"/>
      <c r="BX1599" s="4"/>
      <c r="BY1599" s="4"/>
      <c r="BZ1599" s="4"/>
      <c r="CA1599" s="4"/>
      <c r="CB1599" s="4"/>
      <c r="CC1599" s="4"/>
      <c r="CD1599" s="4"/>
      <c r="CE1599" s="4"/>
      <c r="CF1599" s="4"/>
      <c r="CG1599" s="4"/>
      <c r="CH1599" s="4"/>
      <c r="CI1599" s="4"/>
      <c r="CJ1599" s="4"/>
      <c r="CK1599" s="4"/>
      <c r="CL1599" s="4"/>
      <c r="CM1599" s="4"/>
      <c r="CN1599" s="4"/>
      <c r="CO1599" s="4"/>
      <c r="CP1599" s="4"/>
      <c r="CQ1599" s="4"/>
      <c r="CR1599" s="4"/>
      <c r="CS1599" s="4"/>
      <c r="CT1599" s="4"/>
      <c r="CU1599" s="4"/>
      <c r="CV1599" s="4"/>
      <c r="CW1599" s="4"/>
      <c r="CX1599" s="4"/>
      <c r="CY1599" s="4"/>
      <c r="CZ1599" s="4"/>
      <c r="DA1599" s="4"/>
      <c r="DB1599" s="4"/>
      <c r="DC1599" s="4"/>
      <c r="DD1599" s="4"/>
      <c r="DE1599" s="4"/>
      <c r="DF1599" s="4"/>
      <c r="DG1599" s="4"/>
      <c r="DH1599" s="4"/>
      <c r="DI1599" s="4"/>
      <c r="DJ1599" s="4"/>
      <c r="DK1599" s="4"/>
      <c r="DL1599" s="4"/>
      <c r="DM1599" s="4"/>
      <c r="DN1599" s="4"/>
      <c r="DO1599" s="4"/>
      <c r="DP1599" s="4"/>
      <c r="DQ1599" s="4"/>
      <c r="DR1599" s="4"/>
    </row>
    <row r="1600" spans="1:122" x14ac:dyDescent="0.25">
      <c r="A1600" s="2" t="s">
        <v>15</v>
      </c>
      <c r="B1600" s="2" t="str">
        <f>"FES1162769760"</f>
        <v>FES1162769760</v>
      </c>
      <c r="C1600" s="2" t="s">
        <v>1190</v>
      </c>
      <c r="D1600" s="2">
        <v>1</v>
      </c>
      <c r="E1600" s="2" t="str">
        <f>"2170756974"</f>
        <v>2170756974</v>
      </c>
      <c r="F1600" s="2" t="s">
        <v>17</v>
      </c>
      <c r="G1600" s="2" t="s">
        <v>18</v>
      </c>
      <c r="H1600" s="2" t="s">
        <v>25</v>
      </c>
      <c r="I1600" s="2" t="s">
        <v>26</v>
      </c>
      <c r="J1600" s="2" t="s">
        <v>1287</v>
      </c>
      <c r="K1600" s="2" t="s">
        <v>1266</v>
      </c>
      <c r="L1600" s="3">
        <v>0.34861111111111115</v>
      </c>
      <c r="M1600" s="2" t="s">
        <v>1343</v>
      </c>
      <c r="N1600" s="2" t="s">
        <v>500</v>
      </c>
      <c r="O1600" s="2"/>
      <c r="P1600" s="4"/>
      <c r="Q1600" s="4"/>
      <c r="R1600" s="4"/>
      <c r="S1600" s="4"/>
      <c r="T1600" s="4"/>
      <c r="U1600" s="4"/>
      <c r="V1600" s="4"/>
      <c r="W1600" s="4"/>
      <c r="X1600" s="4"/>
      <c r="Y1600" s="4"/>
      <c r="Z1600" s="4"/>
      <c r="AA1600" s="4"/>
      <c r="AB1600" s="4"/>
      <c r="AC1600" s="4"/>
      <c r="AD1600" s="4"/>
      <c r="AE1600" s="4"/>
      <c r="AF1600" s="4"/>
      <c r="AG1600" s="4"/>
      <c r="AH1600" s="4"/>
      <c r="AI1600" s="4"/>
      <c r="AJ1600" s="4"/>
      <c r="AK1600" s="4"/>
      <c r="AL1600" s="4"/>
      <c r="AM1600" s="4"/>
      <c r="AN1600" s="4"/>
      <c r="AO1600" s="4"/>
      <c r="AP1600" s="4"/>
      <c r="AQ1600" s="4"/>
      <c r="AR1600" s="4"/>
      <c r="AS1600" s="4"/>
      <c r="AT1600" s="4"/>
      <c r="AU1600" s="4"/>
      <c r="AV1600" s="4"/>
      <c r="AW1600" s="4"/>
      <c r="AX1600" s="4"/>
      <c r="AY1600" s="4"/>
      <c r="AZ1600" s="4"/>
      <c r="BA1600" s="4"/>
      <c r="BB1600" s="4"/>
      <c r="BC1600" s="4"/>
      <c r="BD1600" s="4"/>
      <c r="BE1600" s="4"/>
      <c r="BF1600" s="4"/>
      <c r="BG1600" s="4"/>
      <c r="BH1600" s="4"/>
      <c r="BI1600" s="4"/>
      <c r="BJ1600" s="4"/>
      <c r="BK1600" s="4"/>
      <c r="BL1600" s="4"/>
      <c r="BM1600" s="4"/>
      <c r="BN1600" s="4"/>
      <c r="BO1600" s="4"/>
      <c r="BP1600" s="4"/>
      <c r="BQ1600" s="4"/>
      <c r="BR1600" s="4"/>
      <c r="BS1600" s="4"/>
      <c r="BT1600" s="4"/>
      <c r="BU1600" s="4"/>
      <c r="BV1600" s="4"/>
      <c r="BW1600" s="4"/>
      <c r="BX1600" s="4"/>
      <c r="BY1600" s="4"/>
      <c r="BZ1600" s="4"/>
      <c r="CA1600" s="4"/>
      <c r="CB1600" s="4"/>
      <c r="CC1600" s="4"/>
      <c r="CD1600" s="4"/>
      <c r="CE1600" s="4"/>
      <c r="CF1600" s="4"/>
      <c r="CG1600" s="4"/>
      <c r="CH1600" s="4"/>
      <c r="CI1600" s="4"/>
      <c r="CJ1600" s="4"/>
      <c r="CK1600" s="4"/>
      <c r="CL1600" s="4"/>
      <c r="CM1600" s="4"/>
      <c r="CN1600" s="4"/>
      <c r="CO1600" s="4"/>
      <c r="CP1600" s="4"/>
      <c r="CQ1600" s="4"/>
      <c r="CR1600" s="4"/>
      <c r="CS1600" s="4"/>
      <c r="CT1600" s="4"/>
      <c r="CU1600" s="4"/>
      <c r="CV1600" s="4"/>
      <c r="CW1600" s="4"/>
      <c r="CX1600" s="4"/>
      <c r="CY1600" s="4"/>
      <c r="CZ1600" s="4"/>
      <c r="DA1600" s="4"/>
      <c r="DB1600" s="4"/>
      <c r="DC1600" s="4"/>
      <c r="DD1600" s="4"/>
      <c r="DE1600" s="4"/>
      <c r="DF1600" s="4"/>
      <c r="DG1600" s="4"/>
      <c r="DH1600" s="4"/>
      <c r="DI1600" s="4"/>
      <c r="DJ1600" s="4"/>
      <c r="DK1600" s="4"/>
      <c r="DL1600" s="4"/>
      <c r="DM1600" s="4"/>
      <c r="DN1600" s="4"/>
      <c r="DO1600" s="4"/>
      <c r="DP1600" s="4"/>
      <c r="DQ1600" s="4"/>
      <c r="DR1600" s="4"/>
    </row>
    <row r="1601" spans="1:122" x14ac:dyDescent="0.25">
      <c r="A1601" s="2" t="s">
        <v>15</v>
      </c>
      <c r="B1601" s="2" t="str">
        <f>"FES1162769885"</f>
        <v>FES1162769885</v>
      </c>
      <c r="C1601" s="2" t="s">
        <v>1190</v>
      </c>
      <c r="D1601" s="2">
        <v>1</v>
      </c>
      <c r="E1601" s="2" t="str">
        <f>"2170757186"</f>
        <v>2170757186</v>
      </c>
      <c r="F1601" s="2" t="s">
        <v>17</v>
      </c>
      <c r="G1601" s="2" t="s">
        <v>18</v>
      </c>
      <c r="H1601" s="2" t="s">
        <v>25</v>
      </c>
      <c r="I1601" s="2" t="s">
        <v>26</v>
      </c>
      <c r="J1601" s="2" t="s">
        <v>455</v>
      </c>
      <c r="K1601" s="2" t="s">
        <v>1266</v>
      </c>
      <c r="L1601" s="3">
        <v>0.37152777777777773</v>
      </c>
      <c r="M1601" s="2" t="s">
        <v>561</v>
      </c>
      <c r="N1601" s="2" t="s">
        <v>500</v>
      </c>
      <c r="O1601" s="2"/>
      <c r="P1601" s="4"/>
      <c r="Q1601" s="4"/>
      <c r="R1601" s="4"/>
      <c r="S1601" s="4"/>
      <c r="T1601" s="4"/>
      <c r="U1601" s="4"/>
      <c r="V1601" s="4"/>
      <c r="W1601" s="4"/>
      <c r="X1601" s="4"/>
      <c r="Y1601" s="4"/>
      <c r="Z1601" s="4"/>
      <c r="AA1601" s="4"/>
      <c r="AB1601" s="4"/>
      <c r="AC1601" s="4"/>
      <c r="AD1601" s="4"/>
      <c r="AE1601" s="4"/>
      <c r="AF1601" s="4"/>
      <c r="AG1601" s="4"/>
      <c r="AH1601" s="4"/>
      <c r="AI1601" s="4"/>
      <c r="AJ1601" s="4"/>
      <c r="AK1601" s="4"/>
      <c r="AL1601" s="4"/>
      <c r="AM1601" s="4"/>
      <c r="AN1601" s="4"/>
      <c r="AO1601" s="4"/>
      <c r="AP1601" s="4"/>
      <c r="AQ1601" s="4"/>
      <c r="AR1601" s="4"/>
      <c r="AS1601" s="4"/>
      <c r="AT1601" s="4"/>
      <c r="AU1601" s="4"/>
      <c r="AV1601" s="4"/>
      <c r="AW1601" s="4"/>
      <c r="AX1601" s="4"/>
      <c r="AY1601" s="4"/>
      <c r="AZ1601" s="4"/>
      <c r="BA1601" s="4"/>
      <c r="BB1601" s="4"/>
      <c r="BC1601" s="4"/>
      <c r="BD1601" s="4"/>
      <c r="BE1601" s="4"/>
      <c r="BF1601" s="4"/>
      <c r="BG1601" s="4"/>
      <c r="BH1601" s="4"/>
      <c r="BI1601" s="4"/>
      <c r="BJ1601" s="4"/>
      <c r="BK1601" s="4"/>
      <c r="BL1601" s="4"/>
      <c r="BM1601" s="4"/>
      <c r="BN1601" s="4"/>
      <c r="BO1601" s="4"/>
      <c r="BP1601" s="4"/>
      <c r="BQ1601" s="4"/>
      <c r="BR1601" s="4"/>
      <c r="BS1601" s="4"/>
      <c r="BT1601" s="4"/>
      <c r="BU1601" s="4"/>
      <c r="BV1601" s="4"/>
      <c r="BW1601" s="4"/>
      <c r="BX1601" s="4"/>
      <c r="BY1601" s="4"/>
      <c r="BZ1601" s="4"/>
      <c r="CA1601" s="4"/>
      <c r="CB1601" s="4"/>
      <c r="CC1601" s="4"/>
      <c r="CD1601" s="4"/>
      <c r="CE1601" s="4"/>
      <c r="CF1601" s="4"/>
      <c r="CG1601" s="4"/>
      <c r="CH1601" s="4"/>
      <c r="CI1601" s="4"/>
      <c r="CJ1601" s="4"/>
      <c r="CK1601" s="4"/>
      <c r="CL1601" s="4"/>
      <c r="CM1601" s="4"/>
      <c r="CN1601" s="4"/>
      <c r="CO1601" s="4"/>
      <c r="CP1601" s="4"/>
      <c r="CQ1601" s="4"/>
      <c r="CR1601" s="4"/>
      <c r="CS1601" s="4"/>
      <c r="CT1601" s="4"/>
      <c r="CU1601" s="4"/>
      <c r="CV1601" s="4"/>
      <c r="CW1601" s="4"/>
      <c r="CX1601" s="4"/>
      <c r="CY1601" s="4"/>
      <c r="CZ1601" s="4"/>
      <c r="DA1601" s="4"/>
      <c r="DB1601" s="4"/>
      <c r="DC1601" s="4"/>
      <c r="DD1601" s="4"/>
      <c r="DE1601" s="4"/>
      <c r="DF1601" s="4"/>
      <c r="DG1601" s="4"/>
      <c r="DH1601" s="4"/>
      <c r="DI1601" s="4"/>
      <c r="DJ1601" s="4"/>
      <c r="DK1601" s="4"/>
      <c r="DL1601" s="4"/>
      <c r="DM1601" s="4"/>
      <c r="DN1601" s="4"/>
      <c r="DO1601" s="4"/>
      <c r="DP1601" s="4"/>
      <c r="DQ1601" s="4"/>
      <c r="DR1601" s="4"/>
    </row>
    <row r="1602" spans="1:122" x14ac:dyDescent="0.25">
      <c r="A1602" s="2" t="s">
        <v>15</v>
      </c>
      <c r="B1602" s="2" t="str">
        <f>"FES1162769466"</f>
        <v>FES1162769466</v>
      </c>
      <c r="C1602" s="2" t="s">
        <v>1190</v>
      </c>
      <c r="D1602" s="2">
        <v>1</v>
      </c>
      <c r="E1602" s="2" t="str">
        <f>"2170753867"</f>
        <v>2170753867</v>
      </c>
      <c r="F1602" s="2" t="s">
        <v>17</v>
      </c>
      <c r="G1602" s="2" t="s">
        <v>18</v>
      </c>
      <c r="H1602" s="2" t="s">
        <v>19</v>
      </c>
      <c r="I1602" s="2" t="s">
        <v>73</v>
      </c>
      <c r="J1602" s="2" t="s">
        <v>76</v>
      </c>
      <c r="K1602" s="2" t="s">
        <v>1266</v>
      </c>
      <c r="L1602" s="3">
        <v>0.3659722222222222</v>
      </c>
      <c r="M1602" s="2" t="s">
        <v>197</v>
      </c>
      <c r="N1602" s="2" t="s">
        <v>500</v>
      </c>
      <c r="O1602" s="2"/>
      <c r="P1602" s="4"/>
      <c r="Q1602" s="4"/>
      <c r="R1602" s="4"/>
      <c r="S1602" s="4"/>
      <c r="T1602" s="4"/>
      <c r="U1602" s="4"/>
      <c r="V1602" s="4"/>
      <c r="W1602" s="4"/>
      <c r="X1602" s="4"/>
      <c r="Y1602" s="4"/>
      <c r="Z1602" s="4"/>
      <c r="AA1602" s="4"/>
      <c r="AB1602" s="4"/>
      <c r="AC1602" s="4"/>
      <c r="AD1602" s="4"/>
      <c r="AE1602" s="4"/>
      <c r="AF1602" s="4"/>
      <c r="AG1602" s="4"/>
      <c r="AH1602" s="4"/>
      <c r="AI1602" s="4"/>
      <c r="AJ1602" s="4"/>
      <c r="AK1602" s="4"/>
      <c r="AL1602" s="4"/>
      <c r="AM1602" s="4"/>
      <c r="AN1602" s="4"/>
      <c r="AO1602" s="4"/>
      <c r="AP1602" s="4"/>
      <c r="AQ1602" s="4"/>
      <c r="AR1602" s="4"/>
      <c r="AS1602" s="4"/>
      <c r="AT1602" s="4"/>
      <c r="AU1602" s="4"/>
      <c r="AV1602" s="4"/>
      <c r="AW1602" s="4"/>
      <c r="AX1602" s="4"/>
      <c r="AY1602" s="4"/>
      <c r="AZ1602" s="4"/>
      <c r="BA1602" s="4"/>
      <c r="BB1602" s="4"/>
      <c r="BC1602" s="4"/>
      <c r="BD1602" s="4"/>
      <c r="BE1602" s="4"/>
      <c r="BF1602" s="4"/>
      <c r="BG1602" s="4"/>
      <c r="BH1602" s="4"/>
      <c r="BI1602" s="4"/>
      <c r="BJ1602" s="4"/>
      <c r="BK1602" s="4"/>
      <c r="BL1602" s="4"/>
      <c r="BM1602" s="4"/>
      <c r="BN1602" s="4"/>
      <c r="BO1602" s="4"/>
      <c r="BP1602" s="4"/>
      <c r="BQ1602" s="4"/>
      <c r="BR1602" s="4"/>
      <c r="BS1602" s="4"/>
      <c r="BT1602" s="4"/>
      <c r="BU1602" s="4"/>
      <c r="BV1602" s="4"/>
      <c r="BW1602" s="4"/>
      <c r="BX1602" s="4"/>
      <c r="BY1602" s="4"/>
      <c r="BZ1602" s="4"/>
      <c r="CA1602" s="4"/>
      <c r="CB1602" s="4"/>
      <c r="CC1602" s="4"/>
      <c r="CD1602" s="4"/>
      <c r="CE1602" s="4"/>
      <c r="CF1602" s="4"/>
      <c r="CG1602" s="4"/>
      <c r="CH1602" s="4"/>
      <c r="CI1602" s="4"/>
      <c r="CJ1602" s="4"/>
      <c r="CK1602" s="4"/>
      <c r="CL1602" s="4"/>
      <c r="CM1602" s="4"/>
      <c r="CN1602" s="4"/>
      <c r="CO1602" s="4"/>
      <c r="CP1602" s="4"/>
      <c r="CQ1602" s="4"/>
      <c r="CR1602" s="4"/>
      <c r="CS1602" s="4"/>
      <c r="CT1602" s="4"/>
      <c r="CU1602" s="4"/>
      <c r="CV1602" s="4"/>
      <c r="CW1602" s="4"/>
      <c r="CX1602" s="4"/>
      <c r="CY1602" s="4"/>
      <c r="CZ1602" s="4"/>
      <c r="DA1602" s="4"/>
      <c r="DB1602" s="4"/>
      <c r="DC1602" s="4"/>
      <c r="DD1602" s="4"/>
      <c r="DE1602" s="4"/>
      <c r="DF1602" s="4"/>
      <c r="DG1602" s="4"/>
      <c r="DH1602" s="4"/>
      <c r="DI1602" s="4"/>
      <c r="DJ1602" s="4"/>
      <c r="DK1602" s="4"/>
      <c r="DL1602" s="4"/>
      <c r="DM1602" s="4"/>
      <c r="DN1602" s="4"/>
      <c r="DO1602" s="4"/>
      <c r="DP1602" s="4"/>
      <c r="DQ1602" s="4"/>
      <c r="DR1602" s="4"/>
    </row>
    <row r="1603" spans="1:122" x14ac:dyDescent="0.25">
      <c r="A1603" s="2" t="s">
        <v>15</v>
      </c>
      <c r="B1603" s="2" t="str">
        <f>"FES1162769684"</f>
        <v>FES1162769684</v>
      </c>
      <c r="C1603" s="2" t="s">
        <v>1190</v>
      </c>
      <c r="D1603" s="2">
        <v>1</v>
      </c>
      <c r="E1603" s="2" t="str">
        <f>"2170756794"</f>
        <v>2170756794</v>
      </c>
      <c r="F1603" s="2" t="s">
        <v>17</v>
      </c>
      <c r="G1603" s="2" t="s">
        <v>18</v>
      </c>
      <c r="H1603" s="2" t="s">
        <v>19</v>
      </c>
      <c r="I1603" s="2" t="s">
        <v>20</v>
      </c>
      <c r="J1603" s="2" t="s">
        <v>327</v>
      </c>
      <c r="K1603" s="2" t="s">
        <v>1266</v>
      </c>
      <c r="L1603" s="3">
        <v>0.32847222222222222</v>
      </c>
      <c r="M1603" s="2" t="s">
        <v>1344</v>
      </c>
      <c r="N1603" s="2" t="s">
        <v>500</v>
      </c>
      <c r="O1603" s="2"/>
      <c r="P1603" s="4"/>
      <c r="Q1603" s="4"/>
      <c r="R1603" s="4"/>
      <c r="S1603" s="4"/>
      <c r="T1603" s="4"/>
      <c r="U1603" s="4"/>
      <c r="V1603" s="4"/>
      <c r="W1603" s="4"/>
      <c r="X1603" s="4"/>
      <c r="Y1603" s="4"/>
      <c r="Z1603" s="4"/>
      <c r="AA1603" s="4"/>
      <c r="AB1603" s="4"/>
      <c r="AC1603" s="4"/>
      <c r="AD1603" s="4"/>
      <c r="AE1603" s="4"/>
      <c r="AF1603" s="4"/>
      <c r="AG1603" s="4"/>
      <c r="AH1603" s="4"/>
      <c r="AI1603" s="4"/>
      <c r="AJ1603" s="4"/>
      <c r="AK1603" s="4"/>
      <c r="AL1603" s="4"/>
      <c r="AM1603" s="4"/>
      <c r="AN1603" s="4"/>
      <c r="AO1603" s="4"/>
      <c r="AP1603" s="4"/>
      <c r="AQ1603" s="4"/>
      <c r="AR1603" s="4"/>
      <c r="AS1603" s="4"/>
      <c r="AT1603" s="4"/>
      <c r="AU1603" s="4"/>
      <c r="AV1603" s="4"/>
      <c r="AW1603" s="4"/>
      <c r="AX1603" s="4"/>
      <c r="AY1603" s="4"/>
      <c r="AZ1603" s="4"/>
      <c r="BA1603" s="4"/>
      <c r="BB1603" s="4"/>
      <c r="BC1603" s="4"/>
      <c r="BD1603" s="4"/>
      <c r="BE1603" s="4"/>
      <c r="BF1603" s="4"/>
      <c r="BG1603" s="4"/>
      <c r="BH1603" s="4"/>
      <c r="BI1603" s="4"/>
      <c r="BJ1603" s="4"/>
      <c r="BK1603" s="4"/>
      <c r="BL1603" s="4"/>
      <c r="BM1603" s="4"/>
      <c r="BN1603" s="4"/>
      <c r="BO1603" s="4"/>
      <c r="BP1603" s="4"/>
      <c r="BQ1603" s="4"/>
      <c r="BR1603" s="4"/>
      <c r="BS1603" s="4"/>
      <c r="BT1603" s="4"/>
      <c r="BU1603" s="4"/>
      <c r="BV1603" s="4"/>
      <c r="BW1603" s="4"/>
      <c r="BX1603" s="4"/>
      <c r="BY1603" s="4"/>
      <c r="BZ1603" s="4"/>
      <c r="CA1603" s="4"/>
      <c r="CB1603" s="4"/>
      <c r="CC1603" s="4"/>
      <c r="CD1603" s="4"/>
      <c r="CE1603" s="4"/>
      <c r="CF1603" s="4"/>
      <c r="CG1603" s="4"/>
      <c r="CH1603" s="4"/>
      <c r="CI1603" s="4"/>
      <c r="CJ1603" s="4"/>
      <c r="CK1603" s="4"/>
      <c r="CL1603" s="4"/>
      <c r="CM1603" s="4"/>
      <c r="CN1603" s="4"/>
      <c r="CO1603" s="4"/>
      <c r="CP1603" s="4"/>
      <c r="CQ1603" s="4"/>
      <c r="CR1603" s="4"/>
      <c r="CS1603" s="4"/>
      <c r="CT1603" s="4"/>
      <c r="CU1603" s="4"/>
      <c r="CV1603" s="4"/>
      <c r="CW1603" s="4"/>
      <c r="CX1603" s="4"/>
      <c r="CY1603" s="4"/>
      <c r="CZ1603" s="4"/>
      <c r="DA1603" s="4"/>
      <c r="DB1603" s="4"/>
      <c r="DC1603" s="4"/>
      <c r="DD1603" s="4"/>
      <c r="DE1603" s="4"/>
      <c r="DF1603" s="4"/>
      <c r="DG1603" s="4"/>
      <c r="DH1603" s="4"/>
      <c r="DI1603" s="4"/>
      <c r="DJ1603" s="4"/>
      <c r="DK1603" s="4"/>
      <c r="DL1603" s="4"/>
      <c r="DM1603" s="4"/>
      <c r="DN1603" s="4"/>
      <c r="DO1603" s="4"/>
      <c r="DP1603" s="4"/>
      <c r="DQ1603" s="4"/>
      <c r="DR1603" s="4"/>
    </row>
    <row r="1604" spans="1:122" x14ac:dyDescent="0.25">
      <c r="A1604" s="2" t="s">
        <v>15</v>
      </c>
      <c r="B1604" s="2" t="str">
        <f>"FES1162769828"</f>
        <v>FES1162769828</v>
      </c>
      <c r="C1604" s="2" t="s">
        <v>1190</v>
      </c>
      <c r="D1604" s="2">
        <v>1</v>
      </c>
      <c r="E1604" s="2" t="str">
        <f>"2170757090"</f>
        <v>2170757090</v>
      </c>
      <c r="F1604" s="2" t="s">
        <v>17</v>
      </c>
      <c r="G1604" s="2" t="s">
        <v>18</v>
      </c>
      <c r="H1604" s="2" t="s">
        <v>19</v>
      </c>
      <c r="I1604" s="2" t="s">
        <v>20</v>
      </c>
      <c r="J1604" s="2" t="s">
        <v>606</v>
      </c>
      <c r="K1604" s="2" t="s">
        <v>1266</v>
      </c>
      <c r="L1604" s="3">
        <v>0.44375000000000003</v>
      </c>
      <c r="M1604" s="2" t="s">
        <v>1283</v>
      </c>
      <c r="N1604" s="2" t="s">
        <v>500</v>
      </c>
      <c r="O1604" s="2"/>
      <c r="P1604" s="4"/>
      <c r="Q1604" s="4"/>
      <c r="R1604" s="4"/>
      <c r="S1604" s="4"/>
      <c r="T1604" s="4"/>
      <c r="U1604" s="4"/>
      <c r="V1604" s="4"/>
      <c r="W1604" s="4"/>
      <c r="X1604" s="4"/>
      <c r="Y1604" s="4"/>
      <c r="Z1604" s="4"/>
      <c r="AA1604" s="4"/>
      <c r="AB1604" s="4"/>
      <c r="AC1604" s="4"/>
      <c r="AD1604" s="4"/>
      <c r="AE1604" s="4"/>
      <c r="AF1604" s="4"/>
      <c r="AG1604" s="4"/>
      <c r="AH1604" s="4"/>
      <c r="AI1604" s="4"/>
      <c r="AJ1604" s="4"/>
      <c r="AK1604" s="4"/>
      <c r="AL1604" s="4"/>
      <c r="AM1604" s="4"/>
      <c r="AN1604" s="4"/>
      <c r="AO1604" s="4"/>
      <c r="AP1604" s="4"/>
      <c r="AQ1604" s="4"/>
      <c r="AR1604" s="4"/>
      <c r="AS1604" s="4"/>
      <c r="AT1604" s="4"/>
      <c r="AU1604" s="4"/>
      <c r="AV1604" s="4"/>
      <c r="AW1604" s="4"/>
      <c r="AX1604" s="4"/>
      <c r="AY1604" s="4"/>
      <c r="AZ1604" s="4"/>
      <c r="BA1604" s="4"/>
      <c r="BB1604" s="4"/>
      <c r="BC1604" s="4"/>
      <c r="BD1604" s="4"/>
      <c r="BE1604" s="4"/>
      <c r="BF1604" s="4"/>
      <c r="BG1604" s="4"/>
      <c r="BH1604" s="4"/>
      <c r="BI1604" s="4"/>
      <c r="BJ1604" s="4"/>
      <c r="BK1604" s="4"/>
      <c r="BL1604" s="4"/>
      <c r="BM1604" s="4"/>
      <c r="BN1604" s="4"/>
      <c r="BO1604" s="4"/>
      <c r="BP1604" s="4"/>
      <c r="BQ1604" s="4"/>
      <c r="BR1604" s="4"/>
      <c r="BS1604" s="4"/>
      <c r="BT1604" s="4"/>
      <c r="BU1604" s="4"/>
      <c r="BV1604" s="4"/>
      <c r="BW1604" s="4"/>
      <c r="BX1604" s="4"/>
      <c r="BY1604" s="4"/>
      <c r="BZ1604" s="4"/>
      <c r="CA1604" s="4"/>
      <c r="CB1604" s="4"/>
      <c r="CC1604" s="4"/>
      <c r="CD1604" s="4"/>
      <c r="CE1604" s="4"/>
      <c r="CF1604" s="4"/>
      <c r="CG1604" s="4"/>
      <c r="CH1604" s="4"/>
      <c r="CI1604" s="4"/>
      <c r="CJ1604" s="4"/>
      <c r="CK1604" s="4"/>
      <c r="CL1604" s="4"/>
      <c r="CM1604" s="4"/>
      <c r="CN1604" s="4"/>
      <c r="CO1604" s="4"/>
      <c r="CP1604" s="4"/>
      <c r="CQ1604" s="4"/>
      <c r="CR1604" s="4"/>
      <c r="CS1604" s="4"/>
      <c r="CT1604" s="4"/>
      <c r="CU1604" s="4"/>
      <c r="CV1604" s="4"/>
      <c r="CW1604" s="4"/>
      <c r="CX1604" s="4"/>
      <c r="CY1604" s="4"/>
      <c r="CZ1604" s="4"/>
      <c r="DA1604" s="4"/>
      <c r="DB1604" s="4"/>
      <c r="DC1604" s="4"/>
      <c r="DD1604" s="4"/>
      <c r="DE1604" s="4"/>
      <c r="DF1604" s="4"/>
      <c r="DG1604" s="4"/>
      <c r="DH1604" s="4"/>
      <c r="DI1604" s="4"/>
      <c r="DJ1604" s="4"/>
      <c r="DK1604" s="4"/>
      <c r="DL1604" s="4"/>
      <c r="DM1604" s="4"/>
      <c r="DN1604" s="4"/>
      <c r="DO1604" s="4"/>
      <c r="DP1604" s="4"/>
      <c r="DQ1604" s="4"/>
      <c r="DR1604" s="4"/>
    </row>
    <row r="1605" spans="1:122" x14ac:dyDescent="0.25">
      <c r="A1605" s="2" t="s">
        <v>15</v>
      </c>
      <c r="B1605" s="2" t="str">
        <f>"FES1162769806"</f>
        <v>FES1162769806</v>
      </c>
      <c r="C1605" s="2" t="s">
        <v>1190</v>
      </c>
      <c r="D1605" s="2">
        <v>1</v>
      </c>
      <c r="E1605" s="2" t="str">
        <f>"2170757057"</f>
        <v>2170757057</v>
      </c>
      <c r="F1605" s="2" t="s">
        <v>17</v>
      </c>
      <c r="G1605" s="2" t="s">
        <v>18</v>
      </c>
      <c r="H1605" s="2" t="s">
        <v>363</v>
      </c>
      <c r="I1605" s="2" t="s">
        <v>364</v>
      </c>
      <c r="J1605" s="2" t="s">
        <v>365</v>
      </c>
      <c r="K1605" s="2" t="s">
        <v>1266</v>
      </c>
      <c r="L1605" s="3">
        <v>0.38958333333333334</v>
      </c>
      <c r="M1605" s="2" t="s">
        <v>366</v>
      </c>
      <c r="N1605" s="2" t="s">
        <v>500</v>
      </c>
      <c r="O1605" s="2"/>
      <c r="P1605" s="4"/>
      <c r="Q1605" s="4"/>
      <c r="R1605" s="4"/>
      <c r="S1605" s="4"/>
      <c r="T1605" s="4"/>
      <c r="U1605" s="4"/>
      <c r="V1605" s="4"/>
      <c r="W1605" s="4"/>
      <c r="X1605" s="4"/>
      <c r="Y1605" s="4"/>
      <c r="Z1605" s="4"/>
      <c r="AA1605" s="4"/>
      <c r="AB1605" s="4"/>
      <c r="AC1605" s="4"/>
      <c r="AD1605" s="4"/>
      <c r="AE1605" s="4"/>
      <c r="AF1605" s="4"/>
      <c r="AG1605" s="4"/>
      <c r="AH1605" s="4"/>
      <c r="AI1605" s="4"/>
      <c r="AJ1605" s="4"/>
      <c r="AK1605" s="4"/>
      <c r="AL1605" s="4"/>
      <c r="AM1605" s="4"/>
      <c r="AN1605" s="4"/>
      <c r="AO1605" s="4"/>
      <c r="AP1605" s="4"/>
      <c r="AQ1605" s="4"/>
      <c r="AR1605" s="4"/>
      <c r="AS1605" s="4"/>
      <c r="AT1605" s="4"/>
      <c r="AU1605" s="4"/>
      <c r="AV1605" s="4"/>
      <c r="AW1605" s="4"/>
      <c r="AX1605" s="4"/>
      <c r="AY1605" s="4"/>
      <c r="AZ1605" s="4"/>
      <c r="BA1605" s="4"/>
      <c r="BB1605" s="4"/>
      <c r="BC1605" s="4"/>
      <c r="BD1605" s="4"/>
      <c r="BE1605" s="4"/>
      <c r="BF1605" s="4"/>
      <c r="BG1605" s="4"/>
      <c r="BH1605" s="4"/>
      <c r="BI1605" s="4"/>
      <c r="BJ1605" s="4"/>
      <c r="BK1605" s="4"/>
      <c r="BL1605" s="4"/>
      <c r="BM1605" s="4"/>
      <c r="BN1605" s="4"/>
      <c r="BO1605" s="4"/>
      <c r="BP1605" s="4"/>
      <c r="BQ1605" s="4"/>
      <c r="BR1605" s="4"/>
      <c r="BS1605" s="4"/>
      <c r="BT1605" s="4"/>
      <c r="BU1605" s="4"/>
      <c r="BV1605" s="4"/>
      <c r="BW1605" s="4"/>
      <c r="BX1605" s="4"/>
      <c r="BY1605" s="4"/>
      <c r="BZ1605" s="4"/>
      <c r="CA1605" s="4"/>
      <c r="CB1605" s="4"/>
      <c r="CC1605" s="4"/>
      <c r="CD1605" s="4"/>
      <c r="CE1605" s="4"/>
      <c r="CF1605" s="4"/>
      <c r="CG1605" s="4"/>
      <c r="CH1605" s="4"/>
      <c r="CI1605" s="4"/>
      <c r="CJ1605" s="4"/>
      <c r="CK1605" s="4"/>
      <c r="CL1605" s="4"/>
      <c r="CM1605" s="4"/>
      <c r="CN1605" s="4"/>
      <c r="CO1605" s="4"/>
      <c r="CP1605" s="4"/>
      <c r="CQ1605" s="4"/>
      <c r="CR1605" s="4"/>
      <c r="CS1605" s="4"/>
      <c r="CT1605" s="4"/>
      <c r="CU1605" s="4"/>
      <c r="CV1605" s="4"/>
      <c r="CW1605" s="4"/>
      <c r="CX1605" s="4"/>
      <c r="CY1605" s="4"/>
      <c r="CZ1605" s="4"/>
      <c r="DA1605" s="4"/>
      <c r="DB1605" s="4"/>
      <c r="DC1605" s="4"/>
      <c r="DD1605" s="4"/>
      <c r="DE1605" s="4"/>
      <c r="DF1605" s="4"/>
      <c r="DG1605" s="4"/>
      <c r="DH1605" s="4"/>
      <c r="DI1605" s="4"/>
      <c r="DJ1605" s="4"/>
      <c r="DK1605" s="4"/>
      <c r="DL1605" s="4"/>
      <c r="DM1605" s="4"/>
      <c r="DN1605" s="4"/>
      <c r="DO1605" s="4"/>
      <c r="DP1605" s="4"/>
      <c r="DQ1605" s="4"/>
      <c r="DR1605" s="4"/>
    </row>
    <row r="1606" spans="1:122" x14ac:dyDescent="0.25">
      <c r="A1606" s="2" t="s">
        <v>15</v>
      </c>
      <c r="B1606" s="2" t="str">
        <f>"FES1162769671"</f>
        <v>FES1162769671</v>
      </c>
      <c r="C1606" s="2" t="s">
        <v>1190</v>
      </c>
      <c r="D1606" s="2">
        <v>1</v>
      </c>
      <c r="E1606" s="2" t="str">
        <f>"2170756778"</f>
        <v>2170756778</v>
      </c>
      <c r="F1606" s="2" t="s">
        <v>17</v>
      </c>
      <c r="G1606" s="2" t="s">
        <v>18</v>
      </c>
      <c r="H1606" s="2" t="s">
        <v>78</v>
      </c>
      <c r="I1606" s="2" t="s">
        <v>79</v>
      </c>
      <c r="J1606" s="2" t="s">
        <v>898</v>
      </c>
      <c r="K1606" s="2" t="s">
        <v>1266</v>
      </c>
      <c r="L1606" s="3">
        <v>0.40486111111111112</v>
      </c>
      <c r="M1606" s="2" t="s">
        <v>1345</v>
      </c>
      <c r="N1606" s="2" t="s">
        <v>500</v>
      </c>
      <c r="O1606" s="2"/>
      <c r="P1606" s="4"/>
      <c r="Q1606" s="4"/>
      <c r="R1606" s="4"/>
      <c r="S1606" s="4"/>
      <c r="T1606" s="4"/>
      <c r="U1606" s="4"/>
      <c r="V1606" s="4"/>
      <c r="W1606" s="4"/>
      <c r="X1606" s="4"/>
      <c r="Y1606" s="4"/>
      <c r="Z1606" s="4"/>
      <c r="AA1606" s="4"/>
      <c r="AB1606" s="4"/>
      <c r="AC1606" s="4"/>
      <c r="AD1606" s="4"/>
      <c r="AE1606" s="4"/>
      <c r="AF1606" s="4"/>
      <c r="AG1606" s="4"/>
      <c r="AH1606" s="4"/>
      <c r="AI1606" s="4"/>
      <c r="AJ1606" s="4"/>
      <c r="AK1606" s="4"/>
      <c r="AL1606" s="4"/>
      <c r="AM1606" s="4"/>
      <c r="AN1606" s="4"/>
      <c r="AO1606" s="4"/>
      <c r="AP1606" s="4"/>
      <c r="AQ1606" s="4"/>
      <c r="AR1606" s="4"/>
      <c r="AS1606" s="4"/>
      <c r="AT1606" s="4"/>
      <c r="AU1606" s="4"/>
      <c r="AV1606" s="4"/>
      <c r="AW1606" s="4"/>
      <c r="AX1606" s="4"/>
      <c r="AY1606" s="4"/>
      <c r="AZ1606" s="4"/>
      <c r="BA1606" s="4"/>
      <c r="BB1606" s="4"/>
      <c r="BC1606" s="4"/>
      <c r="BD1606" s="4"/>
      <c r="BE1606" s="4"/>
      <c r="BF1606" s="4"/>
      <c r="BG1606" s="4"/>
      <c r="BH1606" s="4"/>
      <c r="BI1606" s="4"/>
      <c r="BJ1606" s="4"/>
      <c r="BK1606" s="4"/>
      <c r="BL1606" s="4"/>
      <c r="BM1606" s="4"/>
      <c r="BN1606" s="4"/>
      <c r="BO1606" s="4"/>
      <c r="BP1606" s="4"/>
      <c r="BQ1606" s="4"/>
      <c r="BR1606" s="4"/>
      <c r="BS1606" s="4"/>
      <c r="BT1606" s="4"/>
      <c r="BU1606" s="4"/>
      <c r="BV1606" s="4"/>
      <c r="BW1606" s="4"/>
      <c r="BX1606" s="4"/>
      <c r="BY1606" s="4"/>
      <c r="BZ1606" s="4"/>
      <c r="CA1606" s="4"/>
      <c r="CB1606" s="4"/>
      <c r="CC1606" s="4"/>
      <c r="CD1606" s="4"/>
      <c r="CE1606" s="4"/>
      <c r="CF1606" s="4"/>
      <c r="CG1606" s="4"/>
      <c r="CH1606" s="4"/>
      <c r="CI1606" s="4"/>
      <c r="CJ1606" s="4"/>
      <c r="CK1606" s="4"/>
      <c r="CL1606" s="4"/>
      <c r="CM1606" s="4"/>
      <c r="CN1606" s="4"/>
      <c r="CO1606" s="4"/>
      <c r="CP1606" s="4"/>
      <c r="CQ1606" s="4"/>
      <c r="CR1606" s="4"/>
      <c r="CS1606" s="4"/>
      <c r="CT1606" s="4"/>
      <c r="CU1606" s="4"/>
      <c r="CV1606" s="4"/>
      <c r="CW1606" s="4"/>
      <c r="CX1606" s="4"/>
      <c r="CY1606" s="4"/>
      <c r="CZ1606" s="4"/>
      <c r="DA1606" s="4"/>
      <c r="DB1606" s="4"/>
      <c r="DC1606" s="4"/>
      <c r="DD1606" s="4"/>
      <c r="DE1606" s="4"/>
      <c r="DF1606" s="4"/>
      <c r="DG1606" s="4"/>
      <c r="DH1606" s="4"/>
      <c r="DI1606" s="4"/>
      <c r="DJ1606" s="4"/>
      <c r="DK1606" s="4"/>
      <c r="DL1606" s="4"/>
      <c r="DM1606" s="4"/>
      <c r="DN1606" s="4"/>
      <c r="DO1606" s="4"/>
      <c r="DP1606" s="4"/>
      <c r="DQ1606" s="4"/>
      <c r="DR1606" s="4"/>
    </row>
    <row r="1607" spans="1:122" x14ac:dyDescent="0.25">
      <c r="A1607" s="2" t="s">
        <v>15</v>
      </c>
      <c r="B1607" s="2" t="str">
        <f>"FES1162769997"</f>
        <v>FES1162769997</v>
      </c>
      <c r="C1607" s="2" t="s">
        <v>1190</v>
      </c>
      <c r="D1607" s="2">
        <v>1</v>
      </c>
      <c r="E1607" s="2" t="str">
        <f>"2170756715"</f>
        <v>2170756715</v>
      </c>
      <c r="F1607" s="2" t="s">
        <v>205</v>
      </c>
      <c r="G1607" s="2" t="s">
        <v>206</v>
      </c>
      <c r="H1607" s="2" t="s">
        <v>36</v>
      </c>
      <c r="I1607" s="2" t="s">
        <v>37</v>
      </c>
      <c r="J1607" s="2" t="s">
        <v>162</v>
      </c>
      <c r="K1607" s="5" t="s">
        <v>1353</v>
      </c>
      <c r="L1607" s="3">
        <v>0.36527777777777781</v>
      </c>
      <c r="M1607" s="2" t="s">
        <v>1462</v>
      </c>
      <c r="N1607" s="2" t="s">
        <v>500</v>
      </c>
      <c r="O1607" s="2"/>
      <c r="P1607" s="4"/>
      <c r="Q1607" s="4"/>
      <c r="R1607" s="4"/>
      <c r="S1607" s="4"/>
      <c r="T1607" s="4"/>
      <c r="U1607" s="4"/>
      <c r="V1607" s="4"/>
      <c r="W1607" s="4"/>
      <c r="X1607" s="4"/>
      <c r="Y1607" s="4"/>
      <c r="Z1607" s="4"/>
      <c r="AA1607" s="4"/>
      <c r="AB1607" s="4"/>
      <c r="AC1607" s="4"/>
      <c r="AD1607" s="4"/>
      <c r="AE1607" s="4"/>
      <c r="AF1607" s="4"/>
      <c r="AG1607" s="4"/>
      <c r="AH1607" s="4"/>
      <c r="AI1607" s="4"/>
      <c r="AJ1607" s="4"/>
      <c r="AK1607" s="4"/>
      <c r="AL1607" s="4"/>
      <c r="AM1607" s="4"/>
      <c r="AN1607" s="4"/>
      <c r="AO1607" s="4"/>
      <c r="AP1607" s="4"/>
      <c r="AQ1607" s="4"/>
      <c r="AR1607" s="4"/>
      <c r="AS1607" s="4"/>
      <c r="AT1607" s="4"/>
      <c r="AU1607" s="4"/>
      <c r="AV1607" s="4"/>
      <c r="AW1607" s="4"/>
      <c r="AX1607" s="4"/>
      <c r="AY1607" s="4"/>
      <c r="AZ1607" s="4"/>
      <c r="BA1607" s="4"/>
      <c r="BB1607" s="4"/>
      <c r="BC1607" s="4"/>
      <c r="BD1607" s="4"/>
      <c r="BE1607" s="4"/>
      <c r="BF1607" s="4"/>
      <c r="BG1607" s="4"/>
      <c r="BH1607" s="4"/>
      <c r="BI1607" s="4"/>
      <c r="BJ1607" s="4"/>
      <c r="BK1607" s="4"/>
      <c r="BL1607" s="4"/>
      <c r="BM1607" s="4"/>
      <c r="BN1607" s="4"/>
      <c r="BO1607" s="4"/>
      <c r="BP1607" s="4"/>
      <c r="BQ1607" s="4"/>
      <c r="BR1607" s="4"/>
      <c r="BS1607" s="4"/>
      <c r="BT1607" s="4"/>
      <c r="BU1607" s="4"/>
      <c r="BV1607" s="4"/>
      <c r="BW1607" s="4"/>
      <c r="BX1607" s="4"/>
      <c r="BY1607" s="4"/>
      <c r="BZ1607" s="4"/>
      <c r="CA1607" s="4"/>
      <c r="CB1607" s="4"/>
      <c r="CC1607" s="4"/>
      <c r="CD1607" s="4"/>
      <c r="CE1607" s="4"/>
      <c r="CF1607" s="4"/>
      <c r="CG1607" s="4"/>
      <c r="CH1607" s="4"/>
      <c r="CI1607" s="4"/>
      <c r="CJ1607" s="4"/>
      <c r="CK1607" s="4"/>
      <c r="CL1607" s="4"/>
      <c r="CM1607" s="4"/>
      <c r="CN1607" s="4"/>
      <c r="CO1607" s="4"/>
      <c r="CP1607" s="4"/>
      <c r="CQ1607" s="4"/>
      <c r="CR1607" s="4"/>
      <c r="CS1607" s="4"/>
      <c r="CT1607" s="4"/>
      <c r="CU1607" s="4"/>
      <c r="CV1607" s="4"/>
      <c r="CW1607" s="4"/>
      <c r="CX1607" s="4"/>
      <c r="CY1607" s="4"/>
      <c r="CZ1607" s="4"/>
      <c r="DA1607" s="4"/>
      <c r="DB1607" s="4"/>
      <c r="DC1607" s="4"/>
      <c r="DD1607" s="4"/>
      <c r="DE1607" s="4"/>
      <c r="DF1607" s="4"/>
      <c r="DG1607" s="4"/>
      <c r="DH1607" s="4"/>
      <c r="DI1607" s="4"/>
      <c r="DJ1607" s="4"/>
      <c r="DK1607" s="4"/>
      <c r="DL1607" s="4"/>
      <c r="DM1607" s="4"/>
      <c r="DN1607" s="4"/>
      <c r="DO1607" s="4"/>
      <c r="DP1607" s="4"/>
      <c r="DQ1607" s="4"/>
      <c r="DR1607" s="4"/>
    </row>
    <row r="1608" spans="1:122" x14ac:dyDescent="0.25">
      <c r="A1608" s="2" t="s">
        <v>15</v>
      </c>
      <c r="B1608" s="2" t="str">
        <f>"FES1162769826"</f>
        <v>FES1162769826</v>
      </c>
      <c r="C1608" s="2" t="s">
        <v>1190</v>
      </c>
      <c r="D1608" s="2">
        <v>1</v>
      </c>
      <c r="E1608" s="2" t="str">
        <f>"2170757085"</f>
        <v>2170757085</v>
      </c>
      <c r="F1608" s="2" t="s">
        <v>17</v>
      </c>
      <c r="G1608" s="2" t="s">
        <v>18</v>
      </c>
      <c r="H1608" s="2" t="s">
        <v>25</v>
      </c>
      <c r="I1608" s="2" t="s">
        <v>26</v>
      </c>
      <c r="J1608" s="2" t="s">
        <v>100</v>
      </c>
      <c r="K1608" s="2" t="s">
        <v>1266</v>
      </c>
      <c r="L1608" s="3">
        <v>0.31666666666666665</v>
      </c>
      <c r="M1608" s="2" t="s">
        <v>1291</v>
      </c>
      <c r="N1608" s="2" t="s">
        <v>500</v>
      </c>
      <c r="O1608" s="2"/>
      <c r="P1608" s="4"/>
      <c r="Q1608" s="4"/>
      <c r="R1608" s="4"/>
      <c r="S1608" s="4"/>
      <c r="T1608" s="4"/>
      <c r="U1608" s="4"/>
      <c r="V1608" s="4"/>
      <c r="W1608" s="4"/>
      <c r="X1608" s="4"/>
      <c r="Y1608" s="4"/>
      <c r="Z1608" s="4"/>
      <c r="AA1608" s="4"/>
      <c r="AB1608" s="4"/>
      <c r="AC1608" s="4"/>
      <c r="AD1608" s="4"/>
      <c r="AE1608" s="4"/>
      <c r="AF1608" s="4"/>
      <c r="AG1608" s="4"/>
      <c r="AH1608" s="4"/>
      <c r="AI1608" s="4"/>
      <c r="AJ1608" s="4"/>
      <c r="AK1608" s="4"/>
      <c r="AL1608" s="4"/>
      <c r="AM1608" s="4"/>
      <c r="AN1608" s="4"/>
      <c r="AO1608" s="4"/>
      <c r="AP1608" s="4"/>
      <c r="AQ1608" s="4"/>
      <c r="AR1608" s="4"/>
      <c r="AS1608" s="4"/>
      <c r="AT1608" s="4"/>
      <c r="AU1608" s="4"/>
      <c r="AV1608" s="4"/>
      <c r="AW1608" s="4"/>
      <c r="AX1608" s="4"/>
      <c r="AY1608" s="4"/>
      <c r="AZ1608" s="4"/>
      <c r="BA1608" s="4"/>
      <c r="BB1608" s="4"/>
      <c r="BC1608" s="4"/>
      <c r="BD1608" s="4"/>
      <c r="BE1608" s="4"/>
      <c r="BF1608" s="4"/>
      <c r="BG1608" s="4"/>
      <c r="BH1608" s="4"/>
      <c r="BI1608" s="4"/>
      <c r="BJ1608" s="4"/>
      <c r="BK1608" s="4"/>
      <c r="BL1608" s="4"/>
      <c r="BM1608" s="4"/>
      <c r="BN1608" s="4"/>
      <c r="BO1608" s="4"/>
      <c r="BP1608" s="4"/>
      <c r="BQ1608" s="4"/>
      <c r="BR1608" s="4"/>
      <c r="BS1608" s="4"/>
      <c r="BT1608" s="4"/>
      <c r="BU1608" s="4"/>
      <c r="BV1608" s="4"/>
      <c r="BW1608" s="4"/>
      <c r="BX1608" s="4"/>
      <c r="BY1608" s="4"/>
      <c r="BZ1608" s="4"/>
      <c r="CA1608" s="4"/>
      <c r="CB1608" s="4"/>
      <c r="CC1608" s="4"/>
      <c r="CD1608" s="4"/>
      <c r="CE1608" s="4"/>
      <c r="CF1608" s="4"/>
      <c r="CG1608" s="4"/>
      <c r="CH1608" s="4"/>
      <c r="CI1608" s="4"/>
      <c r="CJ1608" s="4"/>
      <c r="CK1608" s="4"/>
      <c r="CL1608" s="4"/>
      <c r="CM1608" s="4"/>
      <c r="CN1608" s="4"/>
      <c r="CO1608" s="4"/>
      <c r="CP1608" s="4"/>
      <c r="CQ1608" s="4"/>
      <c r="CR1608" s="4"/>
      <c r="CS1608" s="4"/>
      <c r="CT1608" s="4"/>
      <c r="CU1608" s="4"/>
      <c r="CV1608" s="4"/>
      <c r="CW1608" s="4"/>
      <c r="CX1608" s="4"/>
      <c r="CY1608" s="4"/>
      <c r="CZ1608" s="4"/>
      <c r="DA1608" s="4"/>
      <c r="DB1608" s="4"/>
      <c r="DC1608" s="4"/>
      <c r="DD1608" s="4"/>
      <c r="DE1608" s="4"/>
      <c r="DF1608" s="4"/>
      <c r="DG1608" s="4"/>
      <c r="DH1608" s="4"/>
      <c r="DI1608" s="4"/>
      <c r="DJ1608" s="4"/>
      <c r="DK1608" s="4"/>
      <c r="DL1608" s="4"/>
      <c r="DM1608" s="4"/>
      <c r="DN1608" s="4"/>
      <c r="DO1608" s="4"/>
      <c r="DP1608" s="4"/>
      <c r="DQ1608" s="4"/>
      <c r="DR1608" s="4"/>
    </row>
    <row r="1609" spans="1:122" s="11" customFormat="1" x14ac:dyDescent="0.25">
      <c r="A1609" s="5" t="s">
        <v>15</v>
      </c>
      <c r="B1609" s="5" t="str">
        <f>"FES1162769897"</f>
        <v>FES1162769897</v>
      </c>
      <c r="C1609" s="5" t="s">
        <v>1190</v>
      </c>
      <c r="D1609" s="5">
        <v>1</v>
      </c>
      <c r="E1609" s="5" t="str">
        <f>"2170757199"</f>
        <v>2170757199</v>
      </c>
      <c r="F1609" s="5" t="s">
        <v>205</v>
      </c>
      <c r="G1609" s="5" t="s">
        <v>206</v>
      </c>
      <c r="H1609" s="5" t="s">
        <v>33</v>
      </c>
      <c r="I1609" s="5" t="s">
        <v>34</v>
      </c>
      <c r="J1609" s="5" t="s">
        <v>1292</v>
      </c>
      <c r="K1609" s="5" t="s">
        <v>1353</v>
      </c>
      <c r="L1609" s="9">
        <v>0.43333333333333335</v>
      </c>
      <c r="M1609" s="5" t="s">
        <v>1821</v>
      </c>
      <c r="N1609" s="5" t="s">
        <v>500</v>
      </c>
      <c r="O1609" s="5"/>
      <c r="P1609" s="4"/>
      <c r="Q1609" s="4"/>
      <c r="R1609" s="4"/>
      <c r="S1609" s="4"/>
      <c r="T1609" s="4"/>
      <c r="U1609" s="4"/>
      <c r="V1609" s="4"/>
      <c r="W1609" s="4"/>
      <c r="X1609" s="4"/>
      <c r="Y1609" s="4"/>
      <c r="Z1609" s="4"/>
      <c r="AA1609" s="4"/>
      <c r="AB1609" s="4"/>
      <c r="AC1609" s="4"/>
      <c r="AD1609" s="4"/>
      <c r="AE1609" s="4"/>
      <c r="AF1609" s="4"/>
      <c r="AG1609" s="4"/>
      <c r="AH1609" s="4"/>
      <c r="AI1609" s="4"/>
      <c r="AJ1609" s="4"/>
      <c r="AK1609" s="4"/>
      <c r="AL1609" s="4"/>
      <c r="AM1609" s="4"/>
      <c r="AN1609" s="4"/>
      <c r="AO1609" s="4"/>
      <c r="AP1609" s="4"/>
      <c r="AQ1609" s="4"/>
      <c r="AR1609" s="4"/>
      <c r="AS1609" s="4"/>
      <c r="AT1609" s="4"/>
      <c r="AU1609" s="4"/>
      <c r="AV1609" s="4"/>
      <c r="AW1609" s="4"/>
      <c r="AX1609" s="4"/>
      <c r="AY1609" s="4"/>
      <c r="AZ1609" s="4"/>
      <c r="BA1609" s="4"/>
      <c r="BB1609" s="4"/>
      <c r="BC1609" s="4"/>
      <c r="BD1609" s="4"/>
      <c r="BE1609" s="4"/>
      <c r="BF1609" s="4"/>
      <c r="BG1609" s="4"/>
      <c r="BH1609" s="4"/>
      <c r="BI1609" s="4"/>
      <c r="BJ1609" s="4"/>
      <c r="BK1609" s="4"/>
      <c r="BL1609" s="4"/>
      <c r="BM1609" s="4"/>
      <c r="BN1609" s="4"/>
      <c r="BO1609" s="4"/>
      <c r="BP1609" s="4"/>
      <c r="BQ1609" s="4"/>
      <c r="BR1609" s="4"/>
      <c r="BS1609" s="4"/>
      <c r="BT1609" s="4"/>
      <c r="BU1609" s="4"/>
      <c r="BV1609" s="4"/>
      <c r="BW1609" s="4"/>
      <c r="BX1609" s="4"/>
      <c r="BY1609" s="4"/>
      <c r="BZ1609" s="4"/>
      <c r="CA1609" s="4"/>
      <c r="CB1609" s="4"/>
      <c r="CC1609" s="4"/>
      <c r="CD1609" s="4"/>
      <c r="CE1609" s="4"/>
      <c r="CF1609" s="4"/>
      <c r="CG1609" s="4"/>
      <c r="CH1609" s="4"/>
      <c r="CI1609" s="4"/>
      <c r="CJ1609" s="4"/>
      <c r="CK1609" s="4"/>
      <c r="CL1609" s="4"/>
      <c r="CM1609" s="4"/>
      <c r="CN1609" s="4"/>
      <c r="CO1609" s="4"/>
      <c r="CP1609" s="4"/>
      <c r="CQ1609" s="4"/>
      <c r="CR1609" s="4"/>
      <c r="CS1609" s="4"/>
      <c r="CT1609" s="4"/>
      <c r="CU1609" s="4"/>
      <c r="CV1609" s="4"/>
      <c r="CW1609" s="4"/>
      <c r="CX1609" s="4"/>
      <c r="CY1609" s="4"/>
      <c r="CZ1609" s="4"/>
      <c r="DA1609" s="4"/>
      <c r="DB1609" s="4"/>
      <c r="DC1609" s="4"/>
      <c r="DD1609" s="4"/>
      <c r="DE1609" s="4"/>
      <c r="DF1609" s="4"/>
      <c r="DG1609" s="4"/>
      <c r="DH1609" s="4"/>
      <c r="DI1609" s="4"/>
      <c r="DJ1609" s="4"/>
      <c r="DK1609" s="4"/>
      <c r="DL1609" s="4"/>
      <c r="DM1609" s="4"/>
      <c r="DN1609" s="4"/>
      <c r="DO1609" s="4"/>
      <c r="DP1609" s="4"/>
      <c r="DQ1609" s="4"/>
      <c r="DR1609" s="4"/>
    </row>
    <row r="1610" spans="1:122" x14ac:dyDescent="0.25">
      <c r="A1610" s="5" t="s">
        <v>15</v>
      </c>
      <c r="B1610" s="5" t="str">
        <f>"FES1162769729"</f>
        <v>FES1162769729</v>
      </c>
      <c r="C1610" s="5" t="s">
        <v>1190</v>
      </c>
      <c r="D1610" s="5">
        <v>1</v>
      </c>
      <c r="E1610" s="5" t="str">
        <f>"2170756902"</f>
        <v>2170756902</v>
      </c>
      <c r="F1610" s="5" t="s">
        <v>17</v>
      </c>
      <c r="G1610" s="5" t="s">
        <v>18</v>
      </c>
      <c r="H1610" s="5" t="s">
        <v>19</v>
      </c>
      <c r="I1610" s="5" t="s">
        <v>114</v>
      </c>
      <c r="J1610" s="5" t="s">
        <v>1042</v>
      </c>
      <c r="K1610" s="5" t="s">
        <v>1266</v>
      </c>
      <c r="L1610" s="9">
        <v>0.43611111111111112</v>
      </c>
      <c r="M1610" s="5" t="s">
        <v>1105</v>
      </c>
      <c r="N1610" s="5" t="s">
        <v>500</v>
      </c>
      <c r="O1610" s="5"/>
      <c r="P1610" s="4"/>
      <c r="Q1610" s="4"/>
      <c r="R1610" s="4"/>
      <c r="S1610" s="4"/>
      <c r="T1610" s="4"/>
      <c r="U1610" s="4"/>
      <c r="V1610" s="4"/>
      <c r="W1610" s="4"/>
      <c r="X1610" s="4"/>
      <c r="Y1610" s="4"/>
      <c r="Z1610" s="4"/>
      <c r="AA1610" s="4"/>
      <c r="AB1610" s="4"/>
      <c r="AC1610" s="4"/>
      <c r="AD1610" s="4"/>
      <c r="AE1610" s="4"/>
      <c r="AF1610" s="4"/>
      <c r="AG1610" s="4"/>
      <c r="AH1610" s="4"/>
      <c r="AI1610" s="4"/>
      <c r="AJ1610" s="4"/>
      <c r="AK1610" s="4"/>
      <c r="AL1610" s="4"/>
      <c r="AM1610" s="4"/>
      <c r="AN1610" s="4"/>
      <c r="AO1610" s="4"/>
      <c r="AP1610" s="4"/>
      <c r="AQ1610" s="4"/>
      <c r="AR1610" s="4"/>
      <c r="AS1610" s="4"/>
      <c r="AT1610" s="4"/>
      <c r="AU1610" s="4"/>
      <c r="AV1610" s="4"/>
      <c r="AW1610" s="4"/>
      <c r="AX1610" s="4"/>
      <c r="AY1610" s="4"/>
      <c r="AZ1610" s="4"/>
      <c r="BA1610" s="4"/>
      <c r="BB1610" s="4"/>
      <c r="BC1610" s="4"/>
      <c r="BD1610" s="4"/>
      <c r="BE1610" s="4"/>
      <c r="BF1610" s="4"/>
      <c r="BG1610" s="4"/>
      <c r="BH1610" s="4"/>
      <c r="BI1610" s="4"/>
      <c r="BJ1610" s="4"/>
      <c r="BK1610" s="4"/>
      <c r="BL1610" s="4"/>
      <c r="BM1610" s="4"/>
      <c r="BN1610" s="4"/>
      <c r="BO1610" s="4"/>
      <c r="BP1610" s="4"/>
      <c r="BQ1610" s="4"/>
      <c r="BR1610" s="4"/>
      <c r="BS1610" s="4"/>
      <c r="BT1610" s="4"/>
      <c r="BU1610" s="4"/>
      <c r="BV1610" s="4"/>
      <c r="BW1610" s="4"/>
      <c r="BX1610" s="4"/>
      <c r="BY1610" s="4"/>
      <c r="BZ1610" s="4"/>
      <c r="CA1610" s="4"/>
      <c r="CB1610" s="4"/>
      <c r="CC1610" s="4"/>
      <c r="CD1610" s="4"/>
      <c r="CE1610" s="4"/>
      <c r="CF1610" s="4"/>
      <c r="CG1610" s="4"/>
      <c r="CH1610" s="4"/>
      <c r="CI1610" s="4"/>
      <c r="CJ1610" s="4"/>
      <c r="CK1610" s="4"/>
      <c r="CL1610" s="4"/>
      <c r="CM1610" s="4"/>
      <c r="CN1610" s="4"/>
      <c r="CO1610" s="4"/>
      <c r="CP1610" s="4"/>
      <c r="CQ1610" s="4"/>
      <c r="CR1610" s="4"/>
      <c r="CS1610" s="4"/>
      <c r="CT1610" s="4"/>
      <c r="CU1610" s="4"/>
      <c r="CV1610" s="4"/>
      <c r="CW1610" s="4"/>
      <c r="CX1610" s="4"/>
      <c r="CY1610" s="4"/>
      <c r="CZ1610" s="4"/>
      <c r="DA1610" s="4"/>
      <c r="DB1610" s="4"/>
      <c r="DC1610" s="4"/>
      <c r="DD1610" s="4"/>
      <c r="DE1610" s="4"/>
      <c r="DF1610" s="4"/>
      <c r="DG1610" s="4"/>
      <c r="DH1610" s="4"/>
      <c r="DI1610" s="4"/>
      <c r="DJ1610" s="4"/>
      <c r="DK1610" s="4"/>
      <c r="DL1610" s="4"/>
      <c r="DM1610" s="4"/>
      <c r="DN1610" s="4"/>
      <c r="DO1610" s="4"/>
      <c r="DP1610" s="4"/>
      <c r="DQ1610" s="4"/>
      <c r="DR1610" s="4"/>
    </row>
    <row r="1611" spans="1:122" x14ac:dyDescent="0.25">
      <c r="A1611" s="2" t="s">
        <v>15</v>
      </c>
      <c r="B1611" s="2" t="str">
        <f>"FES1162769682"</f>
        <v>FES1162769682</v>
      </c>
      <c r="C1611" s="2" t="s">
        <v>1190</v>
      </c>
      <c r="D1611" s="2">
        <v>1</v>
      </c>
      <c r="E1611" s="2" t="str">
        <f>"2170756791"</f>
        <v>2170756791</v>
      </c>
      <c r="F1611" s="2" t="s">
        <v>17</v>
      </c>
      <c r="G1611" s="2" t="s">
        <v>18</v>
      </c>
      <c r="H1611" s="2" t="s">
        <v>78</v>
      </c>
      <c r="I1611" s="2" t="s">
        <v>159</v>
      </c>
      <c r="J1611" s="2" t="s">
        <v>1293</v>
      </c>
      <c r="K1611" s="2" t="s">
        <v>1266</v>
      </c>
      <c r="L1611" s="3">
        <v>0.65763888888888888</v>
      </c>
      <c r="M1611" s="2" t="s">
        <v>1346</v>
      </c>
      <c r="N1611" s="2" t="s">
        <v>500</v>
      </c>
      <c r="O1611" s="2"/>
      <c r="P1611" s="4"/>
      <c r="Q1611" s="4"/>
      <c r="R1611" s="4"/>
      <c r="S1611" s="4"/>
      <c r="T1611" s="4"/>
      <c r="U1611" s="4"/>
      <c r="V1611" s="4"/>
      <c r="W1611" s="4"/>
      <c r="X1611" s="4"/>
      <c r="Y1611" s="4"/>
      <c r="Z1611" s="4"/>
      <c r="AA1611" s="4"/>
      <c r="AB1611" s="4"/>
      <c r="AC1611" s="4"/>
      <c r="AD1611" s="4"/>
      <c r="AE1611" s="4"/>
      <c r="AF1611" s="4"/>
      <c r="AG1611" s="4"/>
      <c r="AH1611" s="4"/>
      <c r="AI1611" s="4"/>
      <c r="AJ1611" s="4"/>
      <c r="AK1611" s="4"/>
      <c r="AL1611" s="4"/>
      <c r="AM1611" s="4"/>
      <c r="AN1611" s="4"/>
      <c r="AO1611" s="4"/>
      <c r="AP1611" s="4"/>
      <c r="AQ1611" s="4"/>
      <c r="AR1611" s="4"/>
      <c r="AS1611" s="4"/>
      <c r="AT1611" s="4"/>
      <c r="AU1611" s="4"/>
      <c r="AV1611" s="4"/>
      <c r="AW1611" s="4"/>
      <c r="AX1611" s="4"/>
      <c r="AY1611" s="4"/>
      <c r="AZ1611" s="4"/>
      <c r="BA1611" s="4"/>
      <c r="BB1611" s="4"/>
      <c r="BC1611" s="4"/>
      <c r="BD1611" s="4"/>
      <c r="BE1611" s="4"/>
      <c r="BF1611" s="4"/>
      <c r="BG1611" s="4"/>
      <c r="BH1611" s="4"/>
      <c r="BI1611" s="4"/>
      <c r="BJ1611" s="4"/>
      <c r="BK1611" s="4"/>
      <c r="BL1611" s="4"/>
      <c r="BM1611" s="4"/>
      <c r="BN1611" s="4"/>
      <c r="BO1611" s="4"/>
      <c r="BP1611" s="4"/>
      <c r="BQ1611" s="4"/>
      <c r="BR1611" s="4"/>
      <c r="BS1611" s="4"/>
      <c r="BT1611" s="4"/>
      <c r="BU1611" s="4"/>
      <c r="BV1611" s="4"/>
      <c r="BW1611" s="4"/>
      <c r="BX1611" s="4"/>
      <c r="BY1611" s="4"/>
      <c r="BZ1611" s="4"/>
      <c r="CA1611" s="4"/>
      <c r="CB1611" s="4"/>
      <c r="CC1611" s="4"/>
      <c r="CD1611" s="4"/>
      <c r="CE1611" s="4"/>
      <c r="CF1611" s="4"/>
      <c r="CG1611" s="4"/>
      <c r="CH1611" s="4"/>
      <c r="CI1611" s="4"/>
      <c r="CJ1611" s="4"/>
      <c r="CK1611" s="4"/>
      <c r="CL1611" s="4"/>
      <c r="CM1611" s="4"/>
      <c r="CN1611" s="4"/>
      <c r="CO1611" s="4"/>
      <c r="CP1611" s="4"/>
      <c r="CQ1611" s="4"/>
      <c r="CR1611" s="4"/>
      <c r="CS1611" s="4"/>
      <c r="CT1611" s="4"/>
      <c r="CU1611" s="4"/>
      <c r="CV1611" s="4"/>
      <c r="CW1611" s="4"/>
      <c r="CX1611" s="4"/>
      <c r="CY1611" s="4"/>
      <c r="CZ1611" s="4"/>
      <c r="DA1611" s="4"/>
      <c r="DB1611" s="4"/>
      <c r="DC1611" s="4"/>
      <c r="DD1611" s="4"/>
      <c r="DE1611" s="4"/>
      <c r="DF1611" s="4"/>
      <c r="DG1611" s="4"/>
      <c r="DH1611" s="4"/>
      <c r="DI1611" s="4"/>
      <c r="DJ1611" s="4"/>
      <c r="DK1611" s="4"/>
      <c r="DL1611" s="4"/>
      <c r="DM1611" s="4"/>
      <c r="DN1611" s="4"/>
      <c r="DO1611" s="4"/>
      <c r="DP1611" s="4"/>
      <c r="DQ1611" s="4"/>
      <c r="DR1611" s="4"/>
    </row>
    <row r="1612" spans="1:122" x14ac:dyDescent="0.25">
      <c r="A1612" s="2" t="s">
        <v>15</v>
      </c>
      <c r="B1612" s="2" t="str">
        <f>"FES1162769990"</f>
        <v>FES1162769990</v>
      </c>
      <c r="C1612" s="2" t="s">
        <v>1190</v>
      </c>
      <c r="D1612" s="2">
        <v>1</v>
      </c>
      <c r="E1612" s="2" t="str">
        <f>"2170756552"</f>
        <v>2170756552</v>
      </c>
      <c r="F1612" s="2" t="s">
        <v>17</v>
      </c>
      <c r="G1612" s="2" t="s">
        <v>18</v>
      </c>
      <c r="H1612" s="2" t="s">
        <v>19</v>
      </c>
      <c r="I1612" s="2" t="s">
        <v>111</v>
      </c>
      <c r="J1612" s="2" t="s">
        <v>629</v>
      </c>
      <c r="K1612" s="2" t="s">
        <v>1266</v>
      </c>
      <c r="L1612" s="3">
        <v>0.37222222222222223</v>
      </c>
      <c r="M1612" s="2" t="s">
        <v>1347</v>
      </c>
      <c r="N1612" s="2" t="s">
        <v>500</v>
      </c>
      <c r="O1612" s="2"/>
      <c r="P1612" s="4"/>
      <c r="Q1612" s="4"/>
      <c r="R1612" s="4"/>
      <c r="S1612" s="4"/>
      <c r="T1612" s="4"/>
      <c r="U1612" s="4"/>
      <c r="V1612" s="4"/>
      <c r="W1612" s="4"/>
      <c r="X1612" s="4"/>
      <c r="Y1612" s="4"/>
      <c r="Z1612" s="4"/>
      <c r="AA1612" s="4"/>
      <c r="AB1612" s="4"/>
      <c r="AC1612" s="4"/>
      <c r="AD1612" s="4"/>
      <c r="AE1612" s="4"/>
      <c r="AF1612" s="4"/>
      <c r="AG1612" s="4"/>
      <c r="AH1612" s="4"/>
      <c r="AI1612" s="4"/>
      <c r="AJ1612" s="4"/>
      <c r="AK1612" s="4"/>
      <c r="AL1612" s="4"/>
      <c r="AM1612" s="4"/>
      <c r="AN1612" s="4"/>
      <c r="AO1612" s="4"/>
      <c r="AP1612" s="4"/>
      <c r="AQ1612" s="4"/>
      <c r="AR1612" s="4"/>
      <c r="AS1612" s="4"/>
      <c r="AT1612" s="4"/>
      <c r="AU1612" s="4"/>
      <c r="AV1612" s="4"/>
      <c r="AW1612" s="4"/>
      <c r="AX1612" s="4"/>
      <c r="AY1612" s="4"/>
      <c r="AZ1612" s="4"/>
      <c r="BA1612" s="4"/>
      <c r="BB1612" s="4"/>
      <c r="BC1612" s="4"/>
      <c r="BD1612" s="4"/>
      <c r="BE1612" s="4"/>
      <c r="BF1612" s="4"/>
      <c r="BG1612" s="4"/>
      <c r="BH1612" s="4"/>
      <c r="BI1612" s="4"/>
      <c r="BJ1612" s="4"/>
      <c r="BK1612" s="4"/>
      <c r="BL1612" s="4"/>
      <c r="BM1612" s="4"/>
      <c r="BN1612" s="4"/>
      <c r="BO1612" s="4"/>
      <c r="BP1612" s="4"/>
      <c r="BQ1612" s="4"/>
      <c r="BR1612" s="4"/>
      <c r="BS1612" s="4"/>
      <c r="BT1612" s="4"/>
      <c r="BU1612" s="4"/>
      <c r="BV1612" s="4"/>
      <c r="BW1612" s="4"/>
      <c r="BX1612" s="4"/>
      <c r="BY1612" s="4"/>
      <c r="BZ1612" s="4"/>
      <c r="CA1612" s="4"/>
      <c r="CB1612" s="4"/>
      <c r="CC1612" s="4"/>
      <c r="CD1612" s="4"/>
      <c r="CE1612" s="4"/>
      <c r="CF1612" s="4"/>
      <c r="CG1612" s="4"/>
      <c r="CH1612" s="4"/>
      <c r="CI1612" s="4"/>
      <c r="CJ1612" s="4"/>
      <c r="CK1612" s="4"/>
      <c r="CL1612" s="4"/>
      <c r="CM1612" s="4"/>
      <c r="CN1612" s="4"/>
      <c r="CO1612" s="4"/>
      <c r="CP1612" s="4"/>
      <c r="CQ1612" s="4"/>
      <c r="CR1612" s="4"/>
      <c r="CS1612" s="4"/>
      <c r="CT1612" s="4"/>
      <c r="CU1612" s="4"/>
      <c r="CV1612" s="4"/>
      <c r="CW1612" s="4"/>
      <c r="CX1612" s="4"/>
      <c r="CY1612" s="4"/>
      <c r="CZ1612" s="4"/>
      <c r="DA1612" s="4"/>
      <c r="DB1612" s="4"/>
      <c r="DC1612" s="4"/>
      <c r="DD1612" s="4"/>
      <c r="DE1612" s="4"/>
      <c r="DF1612" s="4"/>
      <c r="DG1612" s="4"/>
      <c r="DH1612" s="4"/>
      <c r="DI1612" s="4"/>
      <c r="DJ1612" s="4"/>
      <c r="DK1612" s="4"/>
      <c r="DL1612" s="4"/>
      <c r="DM1612" s="4"/>
      <c r="DN1612" s="4"/>
      <c r="DO1612" s="4"/>
      <c r="DP1612" s="4"/>
      <c r="DQ1612" s="4"/>
      <c r="DR1612" s="4"/>
    </row>
    <row r="1613" spans="1:122" x14ac:dyDescent="0.25">
      <c r="A1613" s="2" t="s">
        <v>15</v>
      </c>
      <c r="B1613" s="2" t="str">
        <f>"FES1162769891"</f>
        <v>FES1162769891</v>
      </c>
      <c r="C1613" s="2" t="s">
        <v>1190</v>
      </c>
      <c r="D1613" s="2">
        <v>1</v>
      </c>
      <c r="E1613" s="2" t="str">
        <f>"2170757194"</f>
        <v>2170757194</v>
      </c>
      <c r="F1613" s="2" t="s">
        <v>17</v>
      </c>
      <c r="G1613" s="2" t="s">
        <v>18</v>
      </c>
      <c r="H1613" s="2" t="s">
        <v>19</v>
      </c>
      <c r="I1613" s="2" t="s">
        <v>20</v>
      </c>
      <c r="J1613" s="2" t="s">
        <v>166</v>
      </c>
      <c r="K1613" s="2" t="s">
        <v>1266</v>
      </c>
      <c r="L1613" s="3">
        <v>0.45555555555555555</v>
      </c>
      <c r="M1613" s="2" t="s">
        <v>1348</v>
      </c>
      <c r="N1613" s="2" t="s">
        <v>500</v>
      </c>
      <c r="O1613" s="2"/>
      <c r="P1613" s="4"/>
      <c r="Q1613" s="4"/>
      <c r="R1613" s="4"/>
      <c r="S1613" s="4"/>
      <c r="T1613" s="4"/>
      <c r="U1613" s="4"/>
      <c r="V1613" s="4"/>
      <c r="W1613" s="4"/>
      <c r="X1613" s="4"/>
      <c r="Y1613" s="4"/>
      <c r="Z1613" s="4"/>
      <c r="AA1613" s="4"/>
      <c r="AB1613" s="4"/>
      <c r="AC1613" s="4"/>
      <c r="AD1613" s="4"/>
      <c r="AE1613" s="4"/>
      <c r="AF1613" s="4"/>
      <c r="AG1613" s="4"/>
      <c r="AH1613" s="4"/>
      <c r="AI1613" s="4"/>
      <c r="AJ1613" s="4"/>
      <c r="AK1613" s="4"/>
      <c r="AL1613" s="4"/>
      <c r="AM1613" s="4"/>
      <c r="AN1613" s="4"/>
      <c r="AO1613" s="4"/>
      <c r="AP1613" s="4"/>
      <c r="AQ1613" s="4"/>
      <c r="AR1613" s="4"/>
      <c r="AS1613" s="4"/>
      <c r="AT1613" s="4"/>
      <c r="AU1613" s="4"/>
      <c r="AV1613" s="4"/>
      <c r="AW1613" s="4"/>
      <c r="AX1613" s="4"/>
      <c r="AY1613" s="4"/>
      <c r="AZ1613" s="4"/>
      <c r="BA1613" s="4"/>
      <c r="BB1613" s="4"/>
      <c r="BC1613" s="4"/>
      <c r="BD1613" s="4"/>
      <c r="BE1613" s="4"/>
      <c r="BF1613" s="4"/>
      <c r="BG1613" s="4"/>
      <c r="BH1613" s="4"/>
      <c r="BI1613" s="4"/>
      <c r="BJ1613" s="4"/>
      <c r="BK1613" s="4"/>
      <c r="BL1613" s="4"/>
      <c r="BM1613" s="4"/>
      <c r="BN1613" s="4"/>
      <c r="BO1613" s="4"/>
      <c r="BP1613" s="4"/>
      <c r="BQ1613" s="4"/>
      <c r="BR1613" s="4"/>
      <c r="BS1613" s="4"/>
      <c r="BT1613" s="4"/>
      <c r="BU1613" s="4"/>
      <c r="BV1613" s="4"/>
      <c r="BW1613" s="4"/>
      <c r="BX1613" s="4"/>
      <c r="BY1613" s="4"/>
      <c r="BZ1613" s="4"/>
      <c r="CA1613" s="4"/>
      <c r="CB1613" s="4"/>
      <c r="CC1613" s="4"/>
      <c r="CD1613" s="4"/>
      <c r="CE1613" s="4"/>
      <c r="CF1613" s="4"/>
      <c r="CG1613" s="4"/>
      <c r="CH1613" s="4"/>
      <c r="CI1613" s="4"/>
      <c r="CJ1613" s="4"/>
      <c r="CK1613" s="4"/>
      <c r="CL1613" s="4"/>
      <c r="CM1613" s="4"/>
      <c r="CN1613" s="4"/>
      <c r="CO1613" s="4"/>
      <c r="CP1613" s="4"/>
      <c r="CQ1613" s="4"/>
      <c r="CR1613" s="4"/>
      <c r="CS1613" s="4"/>
      <c r="CT1613" s="4"/>
      <c r="CU1613" s="4"/>
      <c r="CV1613" s="4"/>
      <c r="CW1613" s="4"/>
      <c r="CX1613" s="4"/>
      <c r="CY1613" s="4"/>
      <c r="CZ1613" s="4"/>
      <c r="DA1613" s="4"/>
      <c r="DB1613" s="4"/>
      <c r="DC1613" s="4"/>
      <c r="DD1613" s="4"/>
      <c r="DE1613" s="4"/>
      <c r="DF1613" s="4"/>
      <c r="DG1613" s="4"/>
      <c r="DH1613" s="4"/>
      <c r="DI1613" s="4"/>
      <c r="DJ1613" s="4"/>
      <c r="DK1613" s="4"/>
      <c r="DL1613" s="4"/>
      <c r="DM1613" s="4"/>
      <c r="DN1613" s="4"/>
      <c r="DO1613" s="4"/>
      <c r="DP1613" s="4"/>
      <c r="DQ1613" s="4"/>
      <c r="DR1613" s="4"/>
    </row>
    <row r="1614" spans="1:122" x14ac:dyDescent="0.25">
      <c r="A1614" s="2" t="s">
        <v>15</v>
      </c>
      <c r="B1614" s="2" t="str">
        <f>"FES1162769619"</f>
        <v>FES1162769619</v>
      </c>
      <c r="C1614" s="2" t="s">
        <v>1190</v>
      </c>
      <c r="D1614" s="2">
        <v>1</v>
      </c>
      <c r="E1614" s="2" t="str">
        <f>"2170756692"</f>
        <v>2170756692</v>
      </c>
      <c r="F1614" s="2" t="s">
        <v>17</v>
      </c>
      <c r="G1614" s="2" t="s">
        <v>18</v>
      </c>
      <c r="H1614" s="2" t="s">
        <v>18</v>
      </c>
      <c r="I1614" s="2" t="s">
        <v>290</v>
      </c>
      <c r="J1614" s="2" t="s">
        <v>1294</v>
      </c>
      <c r="K1614" s="2" t="s">
        <v>1266</v>
      </c>
      <c r="L1614" s="3">
        <v>0.41736111111111113</v>
      </c>
      <c r="M1614" s="2" t="s">
        <v>1349</v>
      </c>
      <c r="N1614" s="2" t="s">
        <v>500</v>
      </c>
      <c r="O1614" s="2"/>
      <c r="P1614" s="4"/>
      <c r="Q1614" s="4"/>
      <c r="R1614" s="4"/>
      <c r="S1614" s="4"/>
      <c r="T1614" s="4"/>
      <c r="U1614" s="4"/>
      <c r="V1614" s="4"/>
      <c r="W1614" s="4"/>
      <c r="X1614" s="4"/>
      <c r="Y1614" s="4"/>
      <c r="Z1614" s="4"/>
      <c r="AA1614" s="4"/>
      <c r="AB1614" s="4"/>
      <c r="AC1614" s="4"/>
      <c r="AD1614" s="4"/>
      <c r="AE1614" s="4"/>
      <c r="AF1614" s="4"/>
      <c r="AG1614" s="4"/>
      <c r="AH1614" s="4"/>
      <c r="AI1614" s="4"/>
      <c r="AJ1614" s="4"/>
      <c r="AK1614" s="4"/>
      <c r="AL1614" s="4"/>
      <c r="AM1614" s="4"/>
      <c r="AN1614" s="4"/>
      <c r="AO1614" s="4"/>
      <c r="AP1614" s="4"/>
      <c r="AQ1614" s="4"/>
      <c r="AR1614" s="4"/>
      <c r="AS1614" s="4"/>
      <c r="AT1614" s="4"/>
      <c r="AU1614" s="4"/>
      <c r="AV1614" s="4"/>
      <c r="AW1614" s="4"/>
      <c r="AX1614" s="4"/>
      <c r="AY1614" s="4"/>
      <c r="AZ1614" s="4"/>
      <c r="BA1614" s="4"/>
      <c r="BB1614" s="4"/>
      <c r="BC1614" s="4"/>
      <c r="BD1614" s="4"/>
      <c r="BE1614" s="4"/>
      <c r="BF1614" s="4"/>
      <c r="BG1614" s="4"/>
      <c r="BH1614" s="4"/>
      <c r="BI1614" s="4"/>
      <c r="BJ1614" s="4"/>
      <c r="BK1614" s="4"/>
      <c r="BL1614" s="4"/>
      <c r="BM1614" s="4"/>
      <c r="BN1614" s="4"/>
      <c r="BO1614" s="4"/>
      <c r="BP1614" s="4"/>
      <c r="BQ1614" s="4"/>
      <c r="BR1614" s="4"/>
      <c r="BS1614" s="4"/>
      <c r="BT1614" s="4"/>
      <c r="BU1614" s="4"/>
      <c r="BV1614" s="4"/>
      <c r="BW1614" s="4"/>
      <c r="BX1614" s="4"/>
      <c r="BY1614" s="4"/>
      <c r="BZ1614" s="4"/>
      <c r="CA1614" s="4"/>
      <c r="CB1614" s="4"/>
      <c r="CC1614" s="4"/>
      <c r="CD1614" s="4"/>
      <c r="CE1614" s="4"/>
      <c r="CF1614" s="4"/>
      <c r="CG1614" s="4"/>
      <c r="CH1614" s="4"/>
      <c r="CI1614" s="4"/>
      <c r="CJ1614" s="4"/>
      <c r="CK1614" s="4"/>
      <c r="CL1614" s="4"/>
      <c r="CM1614" s="4"/>
      <c r="CN1614" s="4"/>
      <c r="CO1614" s="4"/>
      <c r="CP1614" s="4"/>
      <c r="CQ1614" s="4"/>
      <c r="CR1614" s="4"/>
      <c r="CS1614" s="4"/>
      <c r="CT1614" s="4"/>
      <c r="CU1614" s="4"/>
      <c r="CV1614" s="4"/>
      <c r="CW1614" s="4"/>
      <c r="CX1614" s="4"/>
      <c r="CY1614" s="4"/>
      <c r="CZ1614" s="4"/>
      <c r="DA1614" s="4"/>
      <c r="DB1614" s="4"/>
      <c r="DC1614" s="4"/>
      <c r="DD1614" s="4"/>
      <c r="DE1614" s="4"/>
      <c r="DF1614" s="4"/>
      <c r="DG1614" s="4"/>
      <c r="DH1614" s="4"/>
      <c r="DI1614" s="4"/>
      <c r="DJ1614" s="4"/>
      <c r="DK1614" s="4"/>
      <c r="DL1614" s="4"/>
      <c r="DM1614" s="4"/>
      <c r="DN1614" s="4"/>
      <c r="DO1614" s="4"/>
      <c r="DP1614" s="4"/>
      <c r="DQ1614" s="4"/>
      <c r="DR1614" s="4"/>
    </row>
    <row r="1615" spans="1:122" x14ac:dyDescent="0.25">
      <c r="A1615" s="2" t="s">
        <v>15</v>
      </c>
      <c r="B1615" s="2" t="str">
        <f>"FES1162769551"</f>
        <v>FES1162769551</v>
      </c>
      <c r="C1615" s="2" t="s">
        <v>1190</v>
      </c>
      <c r="D1615" s="2">
        <v>1</v>
      </c>
      <c r="E1615" s="2" t="str">
        <f>"2170756440"</f>
        <v>2170756440</v>
      </c>
      <c r="F1615" s="2" t="s">
        <v>17</v>
      </c>
      <c r="G1615" s="2" t="s">
        <v>18</v>
      </c>
      <c r="H1615" s="2" t="s">
        <v>19</v>
      </c>
      <c r="I1615" s="2" t="s">
        <v>1295</v>
      </c>
      <c r="J1615" s="2" t="s">
        <v>1296</v>
      </c>
      <c r="K1615" s="2" t="s">
        <v>1266</v>
      </c>
      <c r="L1615" s="3">
        <v>0.52569444444444446</v>
      </c>
      <c r="M1615" s="2" t="s">
        <v>1350</v>
      </c>
      <c r="N1615" s="2" t="s">
        <v>500</v>
      </c>
      <c r="O1615" s="2"/>
      <c r="P1615" s="4"/>
      <c r="Q1615" s="4"/>
      <c r="R1615" s="4"/>
      <c r="S1615" s="4"/>
      <c r="T1615" s="4"/>
      <c r="U1615" s="4"/>
      <c r="V1615" s="4"/>
      <c r="W1615" s="4"/>
      <c r="X1615" s="4"/>
      <c r="Y1615" s="4"/>
      <c r="Z1615" s="4"/>
      <c r="AA1615" s="4"/>
      <c r="AB1615" s="4"/>
      <c r="AC1615" s="4"/>
      <c r="AD1615" s="4"/>
      <c r="AE1615" s="4"/>
      <c r="AF1615" s="4"/>
      <c r="AG1615" s="4"/>
      <c r="AH1615" s="4"/>
      <c r="AI1615" s="4"/>
      <c r="AJ1615" s="4"/>
      <c r="AK1615" s="4"/>
      <c r="AL1615" s="4"/>
      <c r="AM1615" s="4"/>
      <c r="AN1615" s="4"/>
      <c r="AO1615" s="4"/>
      <c r="AP1615" s="4"/>
      <c r="AQ1615" s="4"/>
      <c r="AR1615" s="4"/>
      <c r="AS1615" s="4"/>
      <c r="AT1615" s="4"/>
      <c r="AU1615" s="4"/>
      <c r="AV1615" s="4"/>
      <c r="AW1615" s="4"/>
      <c r="AX1615" s="4"/>
      <c r="AY1615" s="4"/>
      <c r="AZ1615" s="4"/>
      <c r="BA1615" s="4"/>
      <c r="BB1615" s="4"/>
      <c r="BC1615" s="4"/>
      <c r="BD1615" s="4"/>
      <c r="BE1615" s="4"/>
      <c r="BF1615" s="4"/>
      <c r="BG1615" s="4"/>
      <c r="BH1615" s="4"/>
      <c r="BI1615" s="4"/>
      <c r="BJ1615" s="4"/>
      <c r="BK1615" s="4"/>
      <c r="BL1615" s="4"/>
      <c r="BM1615" s="4"/>
      <c r="BN1615" s="4"/>
      <c r="BO1615" s="4"/>
      <c r="BP1615" s="4"/>
      <c r="BQ1615" s="4"/>
      <c r="BR1615" s="4"/>
      <c r="BS1615" s="4"/>
      <c r="BT1615" s="4"/>
      <c r="BU1615" s="4"/>
      <c r="BV1615" s="4"/>
      <c r="BW1615" s="4"/>
      <c r="BX1615" s="4"/>
      <c r="BY1615" s="4"/>
      <c r="BZ1615" s="4"/>
      <c r="CA1615" s="4"/>
      <c r="CB1615" s="4"/>
      <c r="CC1615" s="4"/>
      <c r="CD1615" s="4"/>
      <c r="CE1615" s="4"/>
      <c r="CF1615" s="4"/>
      <c r="CG1615" s="4"/>
      <c r="CH1615" s="4"/>
      <c r="CI1615" s="4"/>
      <c r="CJ1615" s="4"/>
      <c r="CK1615" s="4"/>
      <c r="CL1615" s="4"/>
      <c r="CM1615" s="4"/>
      <c r="CN1615" s="4"/>
      <c r="CO1615" s="4"/>
      <c r="CP1615" s="4"/>
      <c r="CQ1615" s="4"/>
      <c r="CR1615" s="4"/>
      <c r="CS1615" s="4"/>
      <c r="CT1615" s="4"/>
      <c r="CU1615" s="4"/>
      <c r="CV1615" s="4"/>
      <c r="CW1615" s="4"/>
      <c r="CX1615" s="4"/>
      <c r="CY1615" s="4"/>
      <c r="CZ1615" s="4"/>
      <c r="DA1615" s="4"/>
      <c r="DB1615" s="4"/>
      <c r="DC1615" s="4"/>
      <c r="DD1615" s="4"/>
      <c r="DE1615" s="4"/>
      <c r="DF1615" s="4"/>
      <c r="DG1615" s="4"/>
      <c r="DH1615" s="4"/>
      <c r="DI1615" s="4"/>
      <c r="DJ1615" s="4"/>
      <c r="DK1615" s="4"/>
      <c r="DL1615" s="4"/>
      <c r="DM1615" s="4"/>
      <c r="DN1615" s="4"/>
      <c r="DO1615" s="4"/>
      <c r="DP1615" s="4"/>
      <c r="DQ1615" s="4"/>
      <c r="DR1615" s="4"/>
    </row>
    <row r="1616" spans="1:122" x14ac:dyDescent="0.25">
      <c r="A1616" s="2" t="s">
        <v>15</v>
      </c>
      <c r="B1616" s="2" t="str">
        <f>"FES1162768902"</f>
        <v>FES1162768902</v>
      </c>
      <c r="C1616" s="2" t="s">
        <v>1190</v>
      </c>
      <c r="D1616" s="2">
        <v>1</v>
      </c>
      <c r="E1616" s="2" t="str">
        <f>"2170756487"</f>
        <v>2170756487</v>
      </c>
      <c r="F1616" s="2" t="s">
        <v>17</v>
      </c>
      <c r="G1616" s="2" t="s">
        <v>18</v>
      </c>
      <c r="H1616" s="2" t="s">
        <v>18</v>
      </c>
      <c r="I1616" s="2" t="s">
        <v>157</v>
      </c>
      <c r="J1616" s="2" t="s">
        <v>347</v>
      </c>
      <c r="K1616" s="2" t="s">
        <v>1266</v>
      </c>
      <c r="L1616" s="3">
        <v>0.40277777777777773</v>
      </c>
      <c r="M1616" s="2" t="s">
        <v>1351</v>
      </c>
      <c r="N1616" s="2" t="s">
        <v>500</v>
      </c>
      <c r="O1616" s="2"/>
      <c r="P1616" s="4"/>
      <c r="Q1616" s="4"/>
      <c r="R1616" s="4"/>
      <c r="S1616" s="4"/>
      <c r="T1616" s="4"/>
      <c r="U1616" s="4"/>
      <c r="V1616" s="4"/>
      <c r="W1616" s="4"/>
      <c r="X1616" s="4"/>
      <c r="Y1616" s="4"/>
      <c r="Z1616" s="4"/>
      <c r="AA1616" s="4"/>
      <c r="AB1616" s="4"/>
      <c r="AC1616" s="4"/>
      <c r="AD1616" s="4"/>
      <c r="AE1616" s="4"/>
      <c r="AF1616" s="4"/>
      <c r="AG1616" s="4"/>
      <c r="AH1616" s="4"/>
      <c r="AI1616" s="4"/>
      <c r="AJ1616" s="4"/>
      <c r="AK1616" s="4"/>
      <c r="AL1616" s="4"/>
      <c r="AM1616" s="4"/>
      <c r="AN1616" s="4"/>
      <c r="AO1616" s="4"/>
      <c r="AP1616" s="4"/>
      <c r="AQ1616" s="4"/>
      <c r="AR1616" s="4"/>
      <c r="AS1616" s="4"/>
      <c r="AT1616" s="4"/>
      <c r="AU1616" s="4"/>
      <c r="AV1616" s="4"/>
      <c r="AW1616" s="4"/>
      <c r="AX1616" s="4"/>
      <c r="AY1616" s="4"/>
      <c r="AZ1616" s="4"/>
      <c r="BA1616" s="4"/>
      <c r="BB1616" s="4"/>
      <c r="BC1616" s="4"/>
      <c r="BD1616" s="4"/>
      <c r="BE1616" s="4"/>
      <c r="BF1616" s="4"/>
      <c r="BG1616" s="4"/>
      <c r="BH1616" s="4"/>
      <c r="BI1616" s="4"/>
      <c r="BJ1616" s="4"/>
      <c r="BK1616" s="4"/>
      <c r="BL1616" s="4"/>
      <c r="BM1616" s="4"/>
      <c r="BN1616" s="4"/>
      <c r="BO1616" s="4"/>
      <c r="BP1616" s="4"/>
      <c r="BQ1616" s="4"/>
      <c r="BR1616" s="4"/>
      <c r="BS1616" s="4"/>
      <c r="BT1616" s="4"/>
      <c r="BU1616" s="4"/>
      <c r="BV1616" s="4"/>
      <c r="BW1616" s="4"/>
      <c r="BX1616" s="4"/>
      <c r="BY1616" s="4"/>
      <c r="BZ1616" s="4"/>
      <c r="CA1616" s="4"/>
      <c r="CB1616" s="4"/>
      <c r="CC1616" s="4"/>
      <c r="CD1616" s="4"/>
      <c r="CE1616" s="4"/>
      <c r="CF1616" s="4"/>
      <c r="CG1616" s="4"/>
      <c r="CH1616" s="4"/>
      <c r="CI1616" s="4"/>
      <c r="CJ1616" s="4"/>
      <c r="CK1616" s="4"/>
      <c r="CL1616" s="4"/>
      <c r="CM1616" s="4"/>
      <c r="CN1616" s="4"/>
      <c r="CO1616" s="4"/>
      <c r="CP1616" s="4"/>
      <c r="CQ1616" s="4"/>
      <c r="CR1616" s="4"/>
      <c r="CS1616" s="4"/>
      <c r="CT1616" s="4"/>
      <c r="CU1616" s="4"/>
      <c r="CV1616" s="4"/>
      <c r="CW1616" s="4"/>
      <c r="CX1616" s="4"/>
      <c r="CY1616" s="4"/>
      <c r="CZ1616" s="4"/>
      <c r="DA1616" s="4"/>
      <c r="DB1616" s="4"/>
      <c r="DC1616" s="4"/>
      <c r="DD1616" s="4"/>
      <c r="DE1616" s="4"/>
      <c r="DF1616" s="4"/>
      <c r="DG1616" s="4"/>
      <c r="DH1616" s="4"/>
      <c r="DI1616" s="4"/>
      <c r="DJ1616" s="4"/>
      <c r="DK1616" s="4"/>
      <c r="DL1616" s="4"/>
      <c r="DM1616" s="4"/>
      <c r="DN1616" s="4"/>
      <c r="DO1616" s="4"/>
      <c r="DP1616" s="4"/>
      <c r="DQ1616" s="4"/>
      <c r="DR1616" s="4"/>
    </row>
    <row r="1617" spans="1:122" x14ac:dyDescent="0.25">
      <c r="A1617" s="2" t="s">
        <v>15</v>
      </c>
      <c r="B1617" s="2" t="str">
        <f>"FES1162769889"</f>
        <v>FES1162769889</v>
      </c>
      <c r="C1617" s="2" t="s">
        <v>1190</v>
      </c>
      <c r="D1617" s="2">
        <v>1</v>
      </c>
      <c r="E1617" s="2" t="str">
        <f>"2170757192"</f>
        <v>2170757192</v>
      </c>
      <c r="F1617" s="2" t="s">
        <v>17</v>
      </c>
      <c r="G1617" s="2" t="s">
        <v>18</v>
      </c>
      <c r="H1617" s="2" t="s">
        <v>19</v>
      </c>
      <c r="I1617" s="2" t="s">
        <v>20</v>
      </c>
      <c r="J1617" s="2" t="s">
        <v>327</v>
      </c>
      <c r="K1617" s="2" t="s">
        <v>1266</v>
      </c>
      <c r="L1617" s="3">
        <v>0.32847222222222222</v>
      </c>
      <c r="M1617" s="2" t="s">
        <v>1344</v>
      </c>
      <c r="N1617" s="2" t="s">
        <v>500</v>
      </c>
      <c r="O1617" s="2"/>
      <c r="P1617" s="4"/>
      <c r="Q1617" s="4"/>
      <c r="R1617" s="4"/>
      <c r="S1617" s="4"/>
      <c r="T1617" s="4"/>
      <c r="U1617" s="4"/>
      <c r="V1617" s="4"/>
      <c r="W1617" s="4"/>
      <c r="X1617" s="4"/>
      <c r="Y1617" s="4"/>
      <c r="Z1617" s="4"/>
      <c r="AA1617" s="4"/>
      <c r="AB1617" s="4"/>
      <c r="AC1617" s="4"/>
      <c r="AD1617" s="4"/>
      <c r="AE1617" s="4"/>
      <c r="AF1617" s="4"/>
      <c r="AG1617" s="4"/>
      <c r="AH1617" s="4"/>
      <c r="AI1617" s="4"/>
      <c r="AJ1617" s="4"/>
      <c r="AK1617" s="4"/>
      <c r="AL1617" s="4"/>
      <c r="AM1617" s="4"/>
      <c r="AN1617" s="4"/>
      <c r="AO1617" s="4"/>
      <c r="AP1617" s="4"/>
      <c r="AQ1617" s="4"/>
      <c r="AR1617" s="4"/>
      <c r="AS1617" s="4"/>
      <c r="AT1617" s="4"/>
      <c r="AU1617" s="4"/>
      <c r="AV1617" s="4"/>
      <c r="AW1617" s="4"/>
      <c r="AX1617" s="4"/>
      <c r="AY1617" s="4"/>
      <c r="AZ1617" s="4"/>
      <c r="BA1617" s="4"/>
      <c r="BB1617" s="4"/>
      <c r="BC1617" s="4"/>
      <c r="BD1617" s="4"/>
      <c r="BE1617" s="4"/>
      <c r="BF1617" s="4"/>
      <c r="BG1617" s="4"/>
      <c r="BH1617" s="4"/>
      <c r="BI1617" s="4"/>
      <c r="BJ1617" s="4"/>
      <c r="BK1617" s="4"/>
      <c r="BL1617" s="4"/>
      <c r="BM1617" s="4"/>
      <c r="BN1617" s="4"/>
      <c r="BO1617" s="4"/>
      <c r="BP1617" s="4"/>
      <c r="BQ1617" s="4"/>
      <c r="BR1617" s="4"/>
      <c r="BS1617" s="4"/>
      <c r="BT1617" s="4"/>
      <c r="BU1617" s="4"/>
      <c r="BV1617" s="4"/>
      <c r="BW1617" s="4"/>
      <c r="BX1617" s="4"/>
      <c r="BY1617" s="4"/>
      <c r="BZ1617" s="4"/>
      <c r="CA1617" s="4"/>
      <c r="CB1617" s="4"/>
      <c r="CC1617" s="4"/>
      <c r="CD1617" s="4"/>
      <c r="CE1617" s="4"/>
      <c r="CF1617" s="4"/>
      <c r="CG1617" s="4"/>
      <c r="CH1617" s="4"/>
      <c r="CI1617" s="4"/>
      <c r="CJ1617" s="4"/>
      <c r="CK1617" s="4"/>
      <c r="CL1617" s="4"/>
      <c r="CM1617" s="4"/>
      <c r="CN1617" s="4"/>
      <c r="CO1617" s="4"/>
      <c r="CP1617" s="4"/>
      <c r="CQ1617" s="4"/>
      <c r="CR1617" s="4"/>
      <c r="CS1617" s="4"/>
      <c r="CT1617" s="4"/>
      <c r="CU1617" s="4"/>
      <c r="CV1617" s="4"/>
      <c r="CW1617" s="4"/>
      <c r="CX1617" s="4"/>
      <c r="CY1617" s="4"/>
      <c r="CZ1617" s="4"/>
      <c r="DA1617" s="4"/>
      <c r="DB1617" s="4"/>
      <c r="DC1617" s="4"/>
      <c r="DD1617" s="4"/>
      <c r="DE1617" s="4"/>
      <c r="DF1617" s="4"/>
      <c r="DG1617" s="4"/>
      <c r="DH1617" s="4"/>
      <c r="DI1617" s="4"/>
      <c r="DJ1617" s="4"/>
      <c r="DK1617" s="4"/>
      <c r="DL1617" s="4"/>
      <c r="DM1617" s="4"/>
      <c r="DN1617" s="4"/>
      <c r="DO1617" s="4"/>
      <c r="DP1617" s="4"/>
      <c r="DQ1617" s="4"/>
      <c r="DR1617" s="4"/>
    </row>
    <row r="1618" spans="1:122" x14ac:dyDescent="0.25">
      <c r="A1618" s="2" t="s">
        <v>15</v>
      </c>
      <c r="B1618" s="2" t="str">
        <f>"FES1162769831"</f>
        <v>FES1162769831</v>
      </c>
      <c r="C1618" s="2" t="s">
        <v>1190</v>
      </c>
      <c r="D1618" s="2">
        <v>1</v>
      </c>
      <c r="E1618" s="2" t="str">
        <f>"2170757098"</f>
        <v>2170757098</v>
      </c>
      <c r="F1618" s="2" t="s">
        <v>17</v>
      </c>
      <c r="G1618" s="2" t="s">
        <v>18</v>
      </c>
      <c r="H1618" s="2" t="s">
        <v>19</v>
      </c>
      <c r="I1618" s="2" t="s">
        <v>269</v>
      </c>
      <c r="J1618" s="2" t="s">
        <v>655</v>
      </c>
      <c r="K1618" s="2" t="s">
        <v>1266</v>
      </c>
      <c r="L1618" s="3">
        <v>0.39861111111111108</v>
      </c>
      <c r="M1618" s="2" t="s">
        <v>1352</v>
      </c>
      <c r="N1618" s="2" t="s">
        <v>500</v>
      </c>
      <c r="O1618" s="2"/>
      <c r="P1618" s="4"/>
      <c r="Q1618" s="4"/>
      <c r="R1618" s="4"/>
      <c r="S1618" s="4"/>
      <c r="T1618" s="4"/>
      <c r="U1618" s="4"/>
      <c r="V1618" s="4"/>
      <c r="W1618" s="4"/>
      <c r="X1618" s="4"/>
      <c r="Y1618" s="4"/>
      <c r="Z1618" s="4"/>
      <c r="AA1618" s="4"/>
      <c r="AB1618" s="4"/>
      <c r="AC1618" s="4"/>
      <c r="AD1618" s="4"/>
      <c r="AE1618" s="4"/>
      <c r="AF1618" s="4"/>
      <c r="AG1618" s="4"/>
      <c r="AH1618" s="4"/>
      <c r="AI1618" s="4"/>
      <c r="AJ1618" s="4"/>
      <c r="AK1618" s="4"/>
      <c r="AL1618" s="4"/>
      <c r="AM1618" s="4"/>
      <c r="AN1618" s="4"/>
      <c r="AO1618" s="4"/>
      <c r="AP1618" s="4"/>
      <c r="AQ1618" s="4"/>
      <c r="AR1618" s="4"/>
      <c r="AS1618" s="4"/>
      <c r="AT1618" s="4"/>
      <c r="AU1618" s="4"/>
      <c r="AV1618" s="4"/>
      <c r="AW1618" s="4"/>
      <c r="AX1618" s="4"/>
      <c r="AY1618" s="4"/>
      <c r="AZ1618" s="4"/>
      <c r="BA1618" s="4"/>
      <c r="BB1618" s="4"/>
      <c r="BC1618" s="4"/>
      <c r="BD1618" s="4"/>
      <c r="BE1618" s="4"/>
      <c r="BF1618" s="4"/>
      <c r="BG1618" s="4"/>
      <c r="BH1618" s="4"/>
      <c r="BI1618" s="4"/>
      <c r="BJ1618" s="4"/>
      <c r="BK1618" s="4"/>
      <c r="BL1618" s="4"/>
      <c r="BM1618" s="4"/>
      <c r="BN1618" s="4"/>
      <c r="BO1618" s="4"/>
      <c r="BP1618" s="4"/>
      <c r="BQ1618" s="4"/>
      <c r="BR1618" s="4"/>
      <c r="BS1618" s="4"/>
      <c r="BT1618" s="4"/>
      <c r="BU1618" s="4"/>
      <c r="BV1618" s="4"/>
      <c r="BW1618" s="4"/>
      <c r="BX1618" s="4"/>
      <c r="BY1618" s="4"/>
      <c r="BZ1618" s="4"/>
      <c r="CA1618" s="4"/>
      <c r="CB1618" s="4"/>
      <c r="CC1618" s="4"/>
      <c r="CD1618" s="4"/>
      <c r="CE1618" s="4"/>
      <c r="CF1618" s="4"/>
      <c r="CG1618" s="4"/>
      <c r="CH1618" s="4"/>
      <c r="CI1618" s="4"/>
      <c r="CJ1618" s="4"/>
      <c r="CK1618" s="4"/>
      <c r="CL1618" s="4"/>
      <c r="CM1618" s="4"/>
      <c r="CN1618" s="4"/>
      <c r="CO1618" s="4"/>
      <c r="CP1618" s="4"/>
      <c r="CQ1618" s="4"/>
      <c r="CR1618" s="4"/>
      <c r="CS1618" s="4"/>
      <c r="CT1618" s="4"/>
      <c r="CU1618" s="4"/>
      <c r="CV1618" s="4"/>
      <c r="CW1618" s="4"/>
      <c r="CX1618" s="4"/>
      <c r="CY1618" s="4"/>
      <c r="CZ1618" s="4"/>
      <c r="DA1618" s="4"/>
      <c r="DB1618" s="4"/>
      <c r="DC1618" s="4"/>
      <c r="DD1618" s="4"/>
      <c r="DE1618" s="4"/>
      <c r="DF1618" s="4"/>
      <c r="DG1618" s="4"/>
      <c r="DH1618" s="4"/>
      <c r="DI1618" s="4"/>
      <c r="DJ1618" s="4"/>
      <c r="DK1618" s="4"/>
      <c r="DL1618" s="4"/>
      <c r="DM1618" s="4"/>
      <c r="DN1618" s="4"/>
      <c r="DO1618" s="4"/>
      <c r="DP1618" s="4"/>
      <c r="DQ1618" s="4"/>
      <c r="DR1618" s="4"/>
    </row>
    <row r="1619" spans="1:122" x14ac:dyDescent="0.25">
      <c r="A1619" s="2" t="s">
        <v>15</v>
      </c>
      <c r="B1619" s="2" t="str">
        <f>"FES1162769874"</f>
        <v>FES1162769874</v>
      </c>
      <c r="C1619" s="2" t="s">
        <v>1190</v>
      </c>
      <c r="D1619" s="2">
        <v>1</v>
      </c>
      <c r="E1619" s="2" t="str">
        <f>"2170756584"</f>
        <v>2170756584</v>
      </c>
      <c r="F1619" s="2" t="s">
        <v>17</v>
      </c>
      <c r="G1619" s="2" t="s">
        <v>18</v>
      </c>
      <c r="H1619" s="2" t="s">
        <v>19</v>
      </c>
      <c r="I1619" s="2" t="s">
        <v>111</v>
      </c>
      <c r="J1619" s="2" t="s">
        <v>405</v>
      </c>
      <c r="K1619" s="2" t="s">
        <v>1266</v>
      </c>
      <c r="L1619" s="3">
        <v>0.33402777777777781</v>
      </c>
      <c r="M1619" s="2" t="s">
        <v>406</v>
      </c>
      <c r="N1619" s="2" t="s">
        <v>500</v>
      </c>
      <c r="O1619" s="2"/>
      <c r="P1619" s="4"/>
      <c r="Q1619" s="4"/>
      <c r="R1619" s="4"/>
      <c r="S1619" s="4"/>
      <c r="T1619" s="4"/>
      <c r="U1619" s="4"/>
      <c r="V1619" s="4"/>
      <c r="W1619" s="4"/>
      <c r="X1619" s="4"/>
      <c r="Y1619" s="4"/>
      <c r="Z1619" s="4"/>
      <c r="AA1619" s="4"/>
      <c r="AB1619" s="4"/>
      <c r="AC1619" s="4"/>
      <c r="AD1619" s="4"/>
      <c r="AE1619" s="4"/>
      <c r="AF1619" s="4"/>
      <c r="AG1619" s="4"/>
      <c r="AH1619" s="4"/>
      <c r="AI1619" s="4"/>
      <c r="AJ1619" s="4"/>
      <c r="AK1619" s="4"/>
      <c r="AL1619" s="4"/>
      <c r="AM1619" s="4"/>
      <c r="AN1619" s="4"/>
      <c r="AO1619" s="4"/>
      <c r="AP1619" s="4"/>
      <c r="AQ1619" s="4"/>
      <c r="AR1619" s="4"/>
      <c r="AS1619" s="4"/>
      <c r="AT1619" s="4"/>
      <c r="AU1619" s="4"/>
      <c r="AV1619" s="4"/>
      <c r="AW1619" s="4"/>
      <c r="AX1619" s="4"/>
      <c r="AY1619" s="4"/>
      <c r="AZ1619" s="4"/>
      <c r="BA1619" s="4"/>
      <c r="BB1619" s="4"/>
      <c r="BC1619" s="4"/>
      <c r="BD1619" s="4"/>
      <c r="BE1619" s="4"/>
      <c r="BF1619" s="4"/>
      <c r="BG1619" s="4"/>
      <c r="BH1619" s="4"/>
      <c r="BI1619" s="4"/>
      <c r="BJ1619" s="4"/>
      <c r="BK1619" s="4"/>
      <c r="BL1619" s="4"/>
      <c r="BM1619" s="4"/>
      <c r="BN1619" s="4"/>
      <c r="BO1619" s="4"/>
      <c r="BP1619" s="4"/>
      <c r="BQ1619" s="4"/>
      <c r="BR1619" s="4"/>
      <c r="BS1619" s="4"/>
      <c r="BT1619" s="4"/>
      <c r="BU1619" s="4"/>
      <c r="BV1619" s="4"/>
      <c r="BW1619" s="4"/>
      <c r="BX1619" s="4"/>
      <c r="BY1619" s="4"/>
      <c r="BZ1619" s="4"/>
      <c r="CA1619" s="4"/>
      <c r="CB1619" s="4"/>
      <c r="CC1619" s="4"/>
      <c r="CD1619" s="4"/>
      <c r="CE1619" s="4"/>
      <c r="CF1619" s="4"/>
      <c r="CG1619" s="4"/>
      <c r="CH1619" s="4"/>
      <c r="CI1619" s="4"/>
      <c r="CJ1619" s="4"/>
      <c r="CK1619" s="4"/>
      <c r="CL1619" s="4"/>
      <c r="CM1619" s="4"/>
      <c r="CN1619" s="4"/>
      <c r="CO1619" s="4"/>
      <c r="CP1619" s="4"/>
      <c r="CQ1619" s="4"/>
      <c r="CR1619" s="4"/>
      <c r="CS1619" s="4"/>
      <c r="CT1619" s="4"/>
      <c r="CU1619" s="4"/>
      <c r="CV1619" s="4"/>
      <c r="CW1619" s="4"/>
      <c r="CX1619" s="4"/>
      <c r="CY1619" s="4"/>
      <c r="CZ1619" s="4"/>
      <c r="DA1619" s="4"/>
      <c r="DB1619" s="4"/>
      <c r="DC1619" s="4"/>
      <c r="DD1619" s="4"/>
      <c r="DE1619" s="4"/>
      <c r="DF1619" s="4"/>
      <c r="DG1619" s="4"/>
      <c r="DH1619" s="4"/>
      <c r="DI1619" s="4"/>
      <c r="DJ1619" s="4"/>
      <c r="DK1619" s="4"/>
      <c r="DL1619" s="4"/>
      <c r="DM1619" s="4"/>
      <c r="DN1619" s="4"/>
      <c r="DO1619" s="4"/>
      <c r="DP1619" s="4"/>
      <c r="DQ1619" s="4"/>
      <c r="DR1619" s="4"/>
    </row>
    <row r="1620" spans="1:122" x14ac:dyDescent="0.25">
      <c r="A1620" s="2" t="s">
        <v>15</v>
      </c>
      <c r="B1620" s="2" t="str">
        <f>"FES1162769855"</f>
        <v>FES1162769855</v>
      </c>
      <c r="C1620" s="2" t="s">
        <v>1190</v>
      </c>
      <c r="D1620" s="2">
        <v>1</v>
      </c>
      <c r="E1620" s="2" t="str">
        <f>"2170757140"</f>
        <v>2170757140</v>
      </c>
      <c r="F1620" s="2" t="s">
        <v>17</v>
      </c>
      <c r="G1620" s="2" t="s">
        <v>18</v>
      </c>
      <c r="H1620" s="2" t="s">
        <v>78</v>
      </c>
      <c r="I1620" s="2" t="s">
        <v>79</v>
      </c>
      <c r="J1620" s="2" t="s">
        <v>81</v>
      </c>
      <c r="K1620" s="2" t="s">
        <v>1266</v>
      </c>
      <c r="L1620" s="3">
        <v>0.49791666666666662</v>
      </c>
      <c r="M1620" s="2" t="s">
        <v>1337</v>
      </c>
      <c r="N1620" s="2" t="s">
        <v>500</v>
      </c>
      <c r="O1620" s="2"/>
      <c r="P1620" s="4"/>
      <c r="Q1620" s="4"/>
      <c r="R1620" s="4"/>
      <c r="S1620" s="4"/>
      <c r="T1620" s="4"/>
      <c r="U1620" s="4"/>
      <c r="V1620" s="4"/>
      <c r="W1620" s="4"/>
      <c r="X1620" s="4"/>
      <c r="Y1620" s="4"/>
      <c r="Z1620" s="4"/>
      <c r="AA1620" s="4"/>
      <c r="AB1620" s="4"/>
      <c r="AC1620" s="4"/>
      <c r="AD1620" s="4"/>
      <c r="AE1620" s="4"/>
      <c r="AF1620" s="4"/>
      <c r="AG1620" s="4"/>
      <c r="AH1620" s="4"/>
      <c r="AI1620" s="4"/>
      <c r="AJ1620" s="4"/>
      <c r="AK1620" s="4"/>
      <c r="AL1620" s="4"/>
      <c r="AM1620" s="4"/>
      <c r="AN1620" s="4"/>
      <c r="AO1620" s="4"/>
      <c r="AP1620" s="4"/>
      <c r="AQ1620" s="4"/>
      <c r="AR1620" s="4"/>
      <c r="AS1620" s="4"/>
      <c r="AT1620" s="4"/>
      <c r="AU1620" s="4"/>
      <c r="AV1620" s="4"/>
      <c r="AW1620" s="4"/>
      <c r="AX1620" s="4"/>
      <c r="AY1620" s="4"/>
      <c r="AZ1620" s="4"/>
      <c r="BA1620" s="4"/>
      <c r="BB1620" s="4"/>
      <c r="BC1620" s="4"/>
      <c r="BD1620" s="4"/>
      <c r="BE1620" s="4"/>
      <c r="BF1620" s="4"/>
      <c r="BG1620" s="4"/>
      <c r="BH1620" s="4"/>
      <c r="BI1620" s="4"/>
      <c r="BJ1620" s="4"/>
      <c r="BK1620" s="4"/>
      <c r="BL1620" s="4"/>
      <c r="BM1620" s="4"/>
      <c r="BN1620" s="4"/>
      <c r="BO1620" s="4"/>
      <c r="BP1620" s="4"/>
      <c r="BQ1620" s="4"/>
      <c r="BR1620" s="4"/>
      <c r="BS1620" s="4"/>
      <c r="BT1620" s="4"/>
      <c r="BU1620" s="4"/>
      <c r="BV1620" s="4"/>
      <c r="BW1620" s="4"/>
      <c r="BX1620" s="4"/>
      <c r="BY1620" s="4"/>
      <c r="BZ1620" s="4"/>
      <c r="CA1620" s="4"/>
      <c r="CB1620" s="4"/>
      <c r="CC1620" s="4"/>
      <c r="CD1620" s="4"/>
      <c r="CE1620" s="4"/>
      <c r="CF1620" s="4"/>
      <c r="CG1620" s="4"/>
      <c r="CH1620" s="4"/>
      <c r="CI1620" s="4"/>
      <c r="CJ1620" s="4"/>
      <c r="CK1620" s="4"/>
      <c r="CL1620" s="4"/>
      <c r="CM1620" s="4"/>
      <c r="CN1620" s="4"/>
      <c r="CO1620" s="4"/>
      <c r="CP1620" s="4"/>
      <c r="CQ1620" s="4"/>
      <c r="CR1620" s="4"/>
      <c r="CS1620" s="4"/>
      <c r="CT1620" s="4"/>
      <c r="CU1620" s="4"/>
      <c r="CV1620" s="4"/>
      <c r="CW1620" s="4"/>
      <c r="CX1620" s="4"/>
      <c r="CY1620" s="4"/>
      <c r="CZ1620" s="4"/>
      <c r="DA1620" s="4"/>
      <c r="DB1620" s="4"/>
      <c r="DC1620" s="4"/>
      <c r="DD1620" s="4"/>
      <c r="DE1620" s="4"/>
      <c r="DF1620" s="4"/>
      <c r="DG1620" s="4"/>
      <c r="DH1620" s="4"/>
      <c r="DI1620" s="4"/>
      <c r="DJ1620" s="4"/>
      <c r="DK1620" s="4"/>
      <c r="DL1620" s="4"/>
      <c r="DM1620" s="4"/>
      <c r="DN1620" s="4"/>
      <c r="DO1620" s="4"/>
      <c r="DP1620" s="4"/>
      <c r="DQ1620" s="4"/>
      <c r="DR1620" s="4"/>
    </row>
    <row r="1621" spans="1:122" x14ac:dyDescent="0.25">
      <c r="A1621" s="2" t="s">
        <v>15</v>
      </c>
      <c r="B1621" s="2" t="str">
        <f>"FES1162769830"</f>
        <v>FES1162769830</v>
      </c>
      <c r="C1621" s="2" t="s">
        <v>1190</v>
      </c>
      <c r="D1621" s="2">
        <v>1</v>
      </c>
      <c r="E1621" s="2" t="str">
        <f>"2170757097"</f>
        <v>2170757097</v>
      </c>
      <c r="F1621" s="2" t="s">
        <v>17</v>
      </c>
      <c r="G1621" s="2" t="s">
        <v>18</v>
      </c>
      <c r="H1621" s="2" t="s">
        <v>25</v>
      </c>
      <c r="I1621" s="2" t="s">
        <v>26</v>
      </c>
      <c r="J1621" s="2" t="s">
        <v>1297</v>
      </c>
      <c r="K1621" s="2" t="s">
        <v>1266</v>
      </c>
      <c r="L1621" s="3">
        <v>0.3034722222222222</v>
      </c>
      <c r="M1621" s="2" t="s">
        <v>1298</v>
      </c>
      <c r="N1621" s="2" t="s">
        <v>500</v>
      </c>
      <c r="O1621" s="2"/>
      <c r="P1621" s="4"/>
      <c r="Q1621" s="4"/>
      <c r="R1621" s="4"/>
      <c r="S1621" s="4"/>
      <c r="T1621" s="4"/>
      <c r="U1621" s="4"/>
      <c r="V1621" s="4"/>
      <c r="W1621" s="4"/>
      <c r="X1621" s="4"/>
      <c r="Y1621" s="4"/>
      <c r="Z1621" s="4"/>
      <c r="AA1621" s="4"/>
      <c r="AB1621" s="4"/>
      <c r="AC1621" s="4"/>
      <c r="AD1621" s="4"/>
      <c r="AE1621" s="4"/>
      <c r="AF1621" s="4"/>
      <c r="AG1621" s="4"/>
      <c r="AH1621" s="4"/>
      <c r="AI1621" s="4"/>
      <c r="AJ1621" s="4"/>
      <c r="AK1621" s="4"/>
      <c r="AL1621" s="4"/>
      <c r="AM1621" s="4"/>
      <c r="AN1621" s="4"/>
      <c r="AO1621" s="4"/>
      <c r="AP1621" s="4"/>
      <c r="AQ1621" s="4"/>
      <c r="AR1621" s="4"/>
      <c r="AS1621" s="4"/>
      <c r="AT1621" s="4"/>
      <c r="AU1621" s="4"/>
      <c r="AV1621" s="4"/>
      <c r="AW1621" s="4"/>
      <c r="AX1621" s="4"/>
      <c r="AY1621" s="4"/>
      <c r="AZ1621" s="4"/>
      <c r="BA1621" s="4"/>
      <c r="BB1621" s="4"/>
      <c r="BC1621" s="4"/>
      <c r="BD1621" s="4"/>
      <c r="BE1621" s="4"/>
      <c r="BF1621" s="4"/>
      <c r="BG1621" s="4"/>
      <c r="BH1621" s="4"/>
      <c r="BI1621" s="4"/>
      <c r="BJ1621" s="4"/>
      <c r="BK1621" s="4"/>
      <c r="BL1621" s="4"/>
      <c r="BM1621" s="4"/>
      <c r="BN1621" s="4"/>
      <c r="BO1621" s="4"/>
      <c r="BP1621" s="4"/>
      <c r="BQ1621" s="4"/>
      <c r="BR1621" s="4"/>
      <c r="BS1621" s="4"/>
      <c r="BT1621" s="4"/>
      <c r="BU1621" s="4"/>
      <c r="BV1621" s="4"/>
      <c r="BW1621" s="4"/>
      <c r="BX1621" s="4"/>
      <c r="BY1621" s="4"/>
      <c r="BZ1621" s="4"/>
      <c r="CA1621" s="4"/>
      <c r="CB1621" s="4"/>
      <c r="CC1621" s="4"/>
      <c r="CD1621" s="4"/>
      <c r="CE1621" s="4"/>
      <c r="CF1621" s="4"/>
      <c r="CG1621" s="4"/>
      <c r="CH1621" s="4"/>
      <c r="CI1621" s="4"/>
      <c r="CJ1621" s="4"/>
      <c r="CK1621" s="4"/>
      <c r="CL1621" s="4"/>
      <c r="CM1621" s="4"/>
      <c r="CN1621" s="4"/>
      <c r="CO1621" s="4"/>
      <c r="CP1621" s="4"/>
      <c r="CQ1621" s="4"/>
      <c r="CR1621" s="4"/>
      <c r="CS1621" s="4"/>
      <c r="CT1621" s="4"/>
      <c r="CU1621" s="4"/>
      <c r="CV1621" s="4"/>
      <c r="CW1621" s="4"/>
      <c r="CX1621" s="4"/>
      <c r="CY1621" s="4"/>
      <c r="CZ1621" s="4"/>
      <c r="DA1621" s="4"/>
      <c r="DB1621" s="4"/>
      <c r="DC1621" s="4"/>
      <c r="DD1621" s="4"/>
      <c r="DE1621" s="4"/>
      <c r="DF1621" s="4"/>
      <c r="DG1621" s="4"/>
      <c r="DH1621" s="4"/>
      <c r="DI1621" s="4"/>
      <c r="DJ1621" s="4"/>
      <c r="DK1621" s="4"/>
      <c r="DL1621" s="4"/>
      <c r="DM1621" s="4"/>
      <c r="DN1621" s="4"/>
      <c r="DO1621" s="4"/>
      <c r="DP1621" s="4"/>
      <c r="DQ1621" s="4"/>
      <c r="DR1621" s="4"/>
    </row>
    <row r="1622" spans="1:122" s="13" customFormat="1" x14ac:dyDescent="0.25">
      <c r="A1622" s="5" t="s">
        <v>15</v>
      </c>
      <c r="B1622" s="5" t="str">
        <f>"FES1162770031"</f>
        <v>FES1162770031</v>
      </c>
      <c r="C1622" s="5" t="s">
        <v>1190</v>
      </c>
      <c r="D1622" s="5">
        <v>1</v>
      </c>
      <c r="E1622" s="5" t="str">
        <f>"2170757260"</f>
        <v>2170757260</v>
      </c>
      <c r="F1622" s="5" t="s">
        <v>205</v>
      </c>
      <c r="G1622" s="5" t="s">
        <v>206</v>
      </c>
      <c r="H1622" s="5" t="s">
        <v>25</v>
      </c>
      <c r="I1622" s="5" t="s">
        <v>26</v>
      </c>
      <c r="J1622" s="5" t="s">
        <v>387</v>
      </c>
      <c r="K1622" s="5" t="s">
        <v>1353</v>
      </c>
      <c r="L1622" s="9">
        <v>0.72638888888888886</v>
      </c>
      <c r="M1622" s="5" t="s">
        <v>1820</v>
      </c>
      <c r="N1622" s="5" t="s">
        <v>500</v>
      </c>
      <c r="O1622" s="5"/>
      <c r="P1622" s="4"/>
      <c r="Q1622" s="4"/>
      <c r="R1622" s="4"/>
      <c r="S1622" s="4"/>
      <c r="T1622" s="4"/>
      <c r="U1622" s="4"/>
      <c r="V1622" s="4"/>
      <c r="W1622" s="4"/>
      <c r="X1622" s="4"/>
      <c r="Y1622" s="4"/>
      <c r="Z1622" s="4"/>
      <c r="AA1622" s="4"/>
      <c r="AB1622" s="4"/>
      <c r="AC1622" s="4"/>
      <c r="AD1622" s="4"/>
      <c r="AE1622" s="4"/>
      <c r="AF1622" s="4"/>
      <c r="AG1622" s="4"/>
      <c r="AH1622" s="4"/>
      <c r="AI1622" s="4"/>
      <c r="AJ1622" s="4"/>
      <c r="AK1622" s="4"/>
      <c r="AL1622" s="4"/>
      <c r="AM1622" s="4"/>
      <c r="AN1622" s="4"/>
      <c r="AO1622" s="4"/>
      <c r="AP1622" s="4"/>
      <c r="AQ1622" s="4"/>
      <c r="AR1622" s="4"/>
      <c r="AS1622" s="4"/>
      <c r="AT1622" s="4"/>
      <c r="AU1622" s="4"/>
      <c r="AV1622" s="4"/>
      <c r="AW1622" s="4"/>
      <c r="AX1622" s="4"/>
      <c r="AY1622" s="4"/>
      <c r="AZ1622" s="4"/>
      <c r="BA1622" s="4"/>
      <c r="BB1622" s="4"/>
      <c r="BC1622" s="4"/>
      <c r="BD1622" s="4"/>
      <c r="BE1622" s="4"/>
      <c r="BF1622" s="4"/>
      <c r="BG1622" s="4"/>
      <c r="BH1622" s="4"/>
      <c r="BI1622" s="4"/>
      <c r="BJ1622" s="4"/>
      <c r="BK1622" s="4"/>
      <c r="BL1622" s="4"/>
      <c r="BM1622" s="4"/>
      <c r="BN1622" s="4"/>
      <c r="BO1622" s="4"/>
      <c r="BP1622" s="4"/>
      <c r="BQ1622" s="4"/>
      <c r="BR1622" s="4"/>
      <c r="BS1622" s="4"/>
      <c r="BT1622" s="4"/>
      <c r="BU1622" s="4"/>
      <c r="BV1622" s="4"/>
      <c r="BW1622" s="4"/>
      <c r="BX1622" s="4"/>
      <c r="BY1622" s="4"/>
      <c r="BZ1622" s="4"/>
      <c r="CA1622" s="4"/>
      <c r="CB1622" s="4"/>
      <c r="CC1622" s="4"/>
      <c r="CD1622" s="4"/>
      <c r="CE1622" s="4"/>
      <c r="CF1622" s="4"/>
      <c r="CG1622" s="4"/>
      <c r="CH1622" s="4"/>
      <c r="CI1622" s="4"/>
      <c r="CJ1622" s="4"/>
      <c r="CK1622" s="4"/>
      <c r="CL1622" s="4"/>
      <c r="CM1622" s="4"/>
      <c r="CN1622" s="4"/>
      <c r="CO1622" s="4"/>
      <c r="CP1622" s="4"/>
      <c r="CQ1622" s="4"/>
      <c r="CR1622" s="4"/>
      <c r="CS1622" s="4"/>
      <c r="CT1622" s="4"/>
      <c r="CU1622" s="4"/>
      <c r="CV1622" s="4"/>
      <c r="CW1622" s="4"/>
      <c r="CX1622" s="4"/>
      <c r="CY1622" s="4"/>
      <c r="CZ1622" s="4"/>
      <c r="DA1622" s="4"/>
      <c r="DB1622" s="4"/>
      <c r="DC1622" s="4"/>
      <c r="DD1622" s="4"/>
      <c r="DE1622" s="4"/>
      <c r="DF1622" s="4"/>
      <c r="DG1622" s="4"/>
      <c r="DH1622" s="4"/>
      <c r="DI1622" s="4"/>
      <c r="DJ1622" s="4"/>
      <c r="DK1622" s="4"/>
      <c r="DL1622" s="4"/>
      <c r="DM1622" s="4"/>
      <c r="DN1622" s="4"/>
      <c r="DO1622" s="4"/>
      <c r="DP1622" s="4"/>
      <c r="DQ1622" s="4"/>
      <c r="DR1622" s="4"/>
    </row>
    <row r="1623" spans="1:122" x14ac:dyDescent="0.25">
      <c r="A1623" s="2" t="s">
        <v>15</v>
      </c>
      <c r="B1623" s="2" t="str">
        <f>"FES1162770005"</f>
        <v>FES1162770005</v>
      </c>
      <c r="C1623" s="2" t="s">
        <v>1190</v>
      </c>
      <c r="D1623" s="2">
        <v>1</v>
      </c>
      <c r="E1623" s="2" t="str">
        <f>"2170757236"</f>
        <v>2170757236</v>
      </c>
      <c r="F1623" s="2" t="s">
        <v>17</v>
      </c>
      <c r="G1623" s="2" t="s">
        <v>18</v>
      </c>
      <c r="H1623" s="2" t="s">
        <v>25</v>
      </c>
      <c r="I1623" s="2" t="s">
        <v>26</v>
      </c>
      <c r="J1623" s="2" t="s">
        <v>474</v>
      </c>
      <c r="K1623" s="2" t="s">
        <v>1266</v>
      </c>
      <c r="L1623" s="3">
        <v>0.41666666666666669</v>
      </c>
      <c r="M1623" s="2" t="s">
        <v>1354</v>
      </c>
      <c r="N1623" s="2" t="s">
        <v>500</v>
      </c>
      <c r="O1623" s="2"/>
      <c r="P1623" s="4"/>
      <c r="Q1623" s="4"/>
      <c r="R1623" s="4"/>
      <c r="S1623" s="4"/>
      <c r="T1623" s="4"/>
      <c r="U1623" s="4"/>
      <c r="V1623" s="4"/>
      <c r="W1623" s="4"/>
      <c r="X1623" s="4"/>
      <c r="Y1623" s="4"/>
      <c r="Z1623" s="4"/>
      <c r="AA1623" s="4"/>
      <c r="AB1623" s="4"/>
      <c r="AC1623" s="4"/>
      <c r="AD1623" s="4"/>
      <c r="AE1623" s="4"/>
      <c r="AF1623" s="4"/>
      <c r="AG1623" s="4"/>
      <c r="AH1623" s="4"/>
      <c r="AI1623" s="4"/>
      <c r="AJ1623" s="4"/>
      <c r="AK1623" s="4"/>
      <c r="AL1623" s="4"/>
      <c r="AM1623" s="4"/>
      <c r="AN1623" s="4"/>
      <c r="AO1623" s="4"/>
      <c r="AP1623" s="4"/>
      <c r="AQ1623" s="4"/>
      <c r="AR1623" s="4"/>
      <c r="AS1623" s="4"/>
      <c r="AT1623" s="4"/>
      <c r="AU1623" s="4"/>
      <c r="AV1623" s="4"/>
      <c r="AW1623" s="4"/>
      <c r="AX1623" s="4"/>
      <c r="AY1623" s="4"/>
      <c r="AZ1623" s="4"/>
      <c r="BA1623" s="4"/>
      <c r="BB1623" s="4"/>
      <c r="BC1623" s="4"/>
      <c r="BD1623" s="4"/>
      <c r="BE1623" s="4"/>
      <c r="BF1623" s="4"/>
      <c r="BG1623" s="4"/>
      <c r="BH1623" s="4"/>
      <c r="BI1623" s="4"/>
      <c r="BJ1623" s="4"/>
      <c r="BK1623" s="4"/>
      <c r="BL1623" s="4"/>
      <c r="BM1623" s="4"/>
      <c r="BN1623" s="4"/>
      <c r="BO1623" s="4"/>
      <c r="BP1623" s="4"/>
      <c r="BQ1623" s="4"/>
      <c r="BR1623" s="4"/>
      <c r="BS1623" s="4"/>
      <c r="BT1623" s="4"/>
      <c r="BU1623" s="4"/>
      <c r="BV1623" s="4"/>
      <c r="BW1623" s="4"/>
      <c r="BX1623" s="4"/>
      <c r="BY1623" s="4"/>
      <c r="BZ1623" s="4"/>
      <c r="CA1623" s="4"/>
      <c r="CB1623" s="4"/>
      <c r="CC1623" s="4"/>
      <c r="CD1623" s="4"/>
      <c r="CE1623" s="4"/>
      <c r="CF1623" s="4"/>
      <c r="CG1623" s="4"/>
      <c r="CH1623" s="4"/>
      <c r="CI1623" s="4"/>
      <c r="CJ1623" s="4"/>
      <c r="CK1623" s="4"/>
      <c r="CL1623" s="4"/>
      <c r="CM1623" s="4"/>
      <c r="CN1623" s="4"/>
      <c r="CO1623" s="4"/>
      <c r="CP1623" s="4"/>
      <c r="CQ1623" s="4"/>
      <c r="CR1623" s="4"/>
      <c r="CS1623" s="4"/>
      <c r="CT1623" s="4"/>
      <c r="CU1623" s="4"/>
      <c r="CV1623" s="4"/>
      <c r="CW1623" s="4"/>
      <c r="CX1623" s="4"/>
      <c r="CY1623" s="4"/>
      <c r="CZ1623" s="4"/>
      <c r="DA1623" s="4"/>
      <c r="DB1623" s="4"/>
      <c r="DC1623" s="4"/>
      <c r="DD1623" s="4"/>
      <c r="DE1623" s="4"/>
      <c r="DF1623" s="4"/>
      <c r="DG1623" s="4"/>
      <c r="DH1623" s="4"/>
      <c r="DI1623" s="4"/>
      <c r="DJ1623" s="4"/>
      <c r="DK1623" s="4"/>
      <c r="DL1623" s="4"/>
      <c r="DM1623" s="4"/>
      <c r="DN1623" s="4"/>
      <c r="DO1623" s="4"/>
      <c r="DP1623" s="4"/>
      <c r="DQ1623" s="4"/>
      <c r="DR1623" s="4"/>
    </row>
    <row r="1624" spans="1:122" x14ac:dyDescent="0.25">
      <c r="A1624" s="2" t="s">
        <v>15</v>
      </c>
      <c r="B1624" s="2" t="str">
        <f>"FES1162769972"</f>
        <v>FES1162769972</v>
      </c>
      <c r="C1624" s="2" t="s">
        <v>1190</v>
      </c>
      <c r="D1624" s="2">
        <v>1</v>
      </c>
      <c r="E1624" s="2" t="str">
        <f>"2170755671"</f>
        <v>2170755671</v>
      </c>
      <c r="F1624" s="2" t="s">
        <v>17</v>
      </c>
      <c r="G1624" s="2" t="s">
        <v>18</v>
      </c>
      <c r="H1624" s="2" t="s">
        <v>25</v>
      </c>
      <c r="I1624" s="2" t="s">
        <v>26</v>
      </c>
      <c r="J1624" s="2" t="s">
        <v>27</v>
      </c>
      <c r="K1624" s="2" t="s">
        <v>1266</v>
      </c>
      <c r="L1624" s="3">
        <v>0.35069444444444442</v>
      </c>
      <c r="M1624" s="2" t="s">
        <v>171</v>
      </c>
      <c r="N1624" s="2" t="s">
        <v>500</v>
      </c>
      <c r="O1624" s="2"/>
      <c r="P1624" s="4"/>
      <c r="Q1624" s="4"/>
      <c r="R1624" s="4"/>
      <c r="S1624" s="4"/>
      <c r="T1624" s="4"/>
      <c r="U1624" s="4"/>
      <c r="V1624" s="4"/>
      <c r="W1624" s="4"/>
      <c r="X1624" s="4"/>
      <c r="Y1624" s="4"/>
      <c r="Z1624" s="4"/>
      <c r="AA1624" s="4"/>
      <c r="AB1624" s="4"/>
      <c r="AC1624" s="4"/>
      <c r="AD1624" s="4"/>
      <c r="AE1624" s="4"/>
      <c r="AF1624" s="4"/>
      <c r="AG1624" s="4"/>
      <c r="AH1624" s="4"/>
      <c r="AI1624" s="4"/>
      <c r="AJ1624" s="4"/>
      <c r="AK1624" s="4"/>
      <c r="AL1624" s="4"/>
      <c r="AM1624" s="4"/>
      <c r="AN1624" s="4"/>
      <c r="AO1624" s="4"/>
      <c r="AP1624" s="4"/>
      <c r="AQ1624" s="4"/>
      <c r="AR1624" s="4"/>
      <c r="AS1624" s="4"/>
      <c r="AT1624" s="4"/>
      <c r="AU1624" s="4"/>
      <c r="AV1624" s="4"/>
      <c r="AW1624" s="4"/>
      <c r="AX1624" s="4"/>
      <c r="AY1624" s="4"/>
      <c r="AZ1624" s="4"/>
      <c r="BA1624" s="4"/>
      <c r="BB1624" s="4"/>
      <c r="BC1624" s="4"/>
      <c r="BD1624" s="4"/>
      <c r="BE1624" s="4"/>
      <c r="BF1624" s="4"/>
      <c r="BG1624" s="4"/>
      <c r="BH1624" s="4"/>
      <c r="BI1624" s="4"/>
      <c r="BJ1624" s="4"/>
      <c r="BK1624" s="4"/>
      <c r="BL1624" s="4"/>
      <c r="BM1624" s="4"/>
      <c r="BN1624" s="4"/>
      <c r="BO1624" s="4"/>
      <c r="BP1624" s="4"/>
      <c r="BQ1624" s="4"/>
      <c r="BR1624" s="4"/>
      <c r="BS1624" s="4"/>
      <c r="BT1624" s="4"/>
      <c r="BU1624" s="4"/>
      <c r="BV1624" s="4"/>
      <c r="BW1624" s="4"/>
      <c r="BX1624" s="4"/>
      <c r="BY1624" s="4"/>
      <c r="BZ1624" s="4"/>
      <c r="CA1624" s="4"/>
      <c r="CB1624" s="4"/>
      <c r="CC1624" s="4"/>
      <c r="CD1624" s="4"/>
      <c r="CE1624" s="4"/>
      <c r="CF1624" s="4"/>
      <c r="CG1624" s="4"/>
      <c r="CH1624" s="4"/>
      <c r="CI1624" s="4"/>
      <c r="CJ1624" s="4"/>
      <c r="CK1624" s="4"/>
      <c r="CL1624" s="4"/>
      <c r="CM1624" s="4"/>
      <c r="CN1624" s="4"/>
      <c r="CO1624" s="4"/>
      <c r="CP1624" s="4"/>
      <c r="CQ1624" s="4"/>
      <c r="CR1624" s="4"/>
      <c r="CS1624" s="4"/>
      <c r="CT1624" s="4"/>
      <c r="CU1624" s="4"/>
      <c r="CV1624" s="4"/>
      <c r="CW1624" s="4"/>
      <c r="CX1624" s="4"/>
      <c r="CY1624" s="4"/>
      <c r="CZ1624" s="4"/>
      <c r="DA1624" s="4"/>
      <c r="DB1624" s="4"/>
      <c r="DC1624" s="4"/>
      <c r="DD1624" s="4"/>
      <c r="DE1624" s="4"/>
      <c r="DF1624" s="4"/>
      <c r="DG1624" s="4"/>
      <c r="DH1624" s="4"/>
      <c r="DI1624" s="4"/>
      <c r="DJ1624" s="4"/>
      <c r="DK1624" s="4"/>
      <c r="DL1624" s="4"/>
      <c r="DM1624" s="4"/>
      <c r="DN1624" s="4"/>
      <c r="DO1624" s="4"/>
      <c r="DP1624" s="4"/>
      <c r="DQ1624" s="4"/>
      <c r="DR1624" s="4"/>
    </row>
    <row r="1625" spans="1:122" x14ac:dyDescent="0.25">
      <c r="A1625" s="2" t="s">
        <v>15</v>
      </c>
      <c r="B1625" s="2" t="str">
        <f>"FES1162769650"</f>
        <v>FES1162769650</v>
      </c>
      <c r="C1625" s="2" t="s">
        <v>1190</v>
      </c>
      <c r="D1625" s="2">
        <v>1</v>
      </c>
      <c r="E1625" s="2" t="str">
        <f>"2170756742"</f>
        <v>2170756742</v>
      </c>
      <c r="F1625" s="2" t="s">
        <v>17</v>
      </c>
      <c r="G1625" s="2" t="s">
        <v>18</v>
      </c>
      <c r="H1625" s="2" t="s">
        <v>18</v>
      </c>
      <c r="I1625" s="2" t="s">
        <v>57</v>
      </c>
      <c r="J1625" s="2" t="s">
        <v>1299</v>
      </c>
      <c r="K1625" s="2" t="s">
        <v>1266</v>
      </c>
      <c r="L1625" s="3">
        <v>0.45069444444444445</v>
      </c>
      <c r="M1625" s="2" t="s">
        <v>1355</v>
      </c>
      <c r="N1625" s="2" t="s">
        <v>500</v>
      </c>
      <c r="O1625" s="2"/>
      <c r="P1625" s="4"/>
      <c r="Q1625" s="4"/>
      <c r="R1625" s="4"/>
      <c r="S1625" s="4"/>
      <c r="T1625" s="4"/>
      <c r="U1625" s="4"/>
      <c r="V1625" s="4"/>
      <c r="W1625" s="4"/>
      <c r="X1625" s="4"/>
      <c r="Y1625" s="4"/>
      <c r="Z1625" s="4"/>
      <c r="AA1625" s="4"/>
      <c r="AB1625" s="4"/>
      <c r="AC1625" s="4"/>
      <c r="AD1625" s="4"/>
      <c r="AE1625" s="4"/>
      <c r="AF1625" s="4"/>
      <c r="AG1625" s="4"/>
      <c r="AH1625" s="4"/>
      <c r="AI1625" s="4"/>
      <c r="AJ1625" s="4"/>
      <c r="AK1625" s="4"/>
      <c r="AL1625" s="4"/>
      <c r="AM1625" s="4"/>
      <c r="AN1625" s="4"/>
      <c r="AO1625" s="4"/>
      <c r="AP1625" s="4"/>
      <c r="AQ1625" s="4"/>
      <c r="AR1625" s="4"/>
      <c r="AS1625" s="4"/>
      <c r="AT1625" s="4"/>
      <c r="AU1625" s="4"/>
      <c r="AV1625" s="4"/>
      <c r="AW1625" s="4"/>
      <c r="AX1625" s="4"/>
      <c r="AY1625" s="4"/>
      <c r="AZ1625" s="4"/>
      <c r="BA1625" s="4"/>
      <c r="BB1625" s="4"/>
      <c r="BC1625" s="4"/>
      <c r="BD1625" s="4"/>
      <c r="BE1625" s="4"/>
      <c r="BF1625" s="4"/>
      <c r="BG1625" s="4"/>
      <c r="BH1625" s="4"/>
      <c r="BI1625" s="4"/>
      <c r="BJ1625" s="4"/>
      <c r="BK1625" s="4"/>
      <c r="BL1625" s="4"/>
      <c r="BM1625" s="4"/>
      <c r="BN1625" s="4"/>
      <c r="BO1625" s="4"/>
      <c r="BP1625" s="4"/>
      <c r="BQ1625" s="4"/>
      <c r="BR1625" s="4"/>
      <c r="BS1625" s="4"/>
      <c r="BT1625" s="4"/>
      <c r="BU1625" s="4"/>
      <c r="BV1625" s="4"/>
      <c r="BW1625" s="4"/>
      <c r="BX1625" s="4"/>
      <c r="BY1625" s="4"/>
      <c r="BZ1625" s="4"/>
      <c r="CA1625" s="4"/>
      <c r="CB1625" s="4"/>
      <c r="CC1625" s="4"/>
      <c r="CD1625" s="4"/>
      <c r="CE1625" s="4"/>
      <c r="CF1625" s="4"/>
      <c r="CG1625" s="4"/>
      <c r="CH1625" s="4"/>
      <c r="CI1625" s="4"/>
      <c r="CJ1625" s="4"/>
      <c r="CK1625" s="4"/>
      <c r="CL1625" s="4"/>
      <c r="CM1625" s="4"/>
      <c r="CN1625" s="4"/>
      <c r="CO1625" s="4"/>
      <c r="CP1625" s="4"/>
      <c r="CQ1625" s="4"/>
      <c r="CR1625" s="4"/>
      <c r="CS1625" s="4"/>
      <c r="CT1625" s="4"/>
      <c r="CU1625" s="4"/>
      <c r="CV1625" s="4"/>
      <c r="CW1625" s="4"/>
      <c r="CX1625" s="4"/>
      <c r="CY1625" s="4"/>
      <c r="CZ1625" s="4"/>
      <c r="DA1625" s="4"/>
      <c r="DB1625" s="4"/>
      <c r="DC1625" s="4"/>
      <c r="DD1625" s="4"/>
      <c r="DE1625" s="4"/>
      <c r="DF1625" s="4"/>
      <c r="DG1625" s="4"/>
      <c r="DH1625" s="4"/>
      <c r="DI1625" s="4"/>
      <c r="DJ1625" s="4"/>
      <c r="DK1625" s="4"/>
      <c r="DL1625" s="4"/>
      <c r="DM1625" s="4"/>
      <c r="DN1625" s="4"/>
      <c r="DO1625" s="4"/>
      <c r="DP1625" s="4"/>
      <c r="DQ1625" s="4"/>
      <c r="DR1625" s="4"/>
    </row>
    <row r="1626" spans="1:122" x14ac:dyDescent="0.25">
      <c r="A1626" s="2" t="s">
        <v>15</v>
      </c>
      <c r="B1626" s="2" t="str">
        <f>"FES1162769799"</f>
        <v>FES1162769799</v>
      </c>
      <c r="C1626" s="2" t="s">
        <v>1190</v>
      </c>
      <c r="D1626" s="2">
        <v>1</v>
      </c>
      <c r="E1626" s="2" t="str">
        <f>"2170757045"</f>
        <v>2170757045</v>
      </c>
      <c r="F1626" s="2" t="s">
        <v>17</v>
      </c>
      <c r="G1626" s="2" t="s">
        <v>18</v>
      </c>
      <c r="H1626" s="2" t="s">
        <v>19</v>
      </c>
      <c r="I1626" s="2" t="s">
        <v>20</v>
      </c>
      <c r="J1626" s="2" t="s">
        <v>21</v>
      </c>
      <c r="K1626" s="2" t="s">
        <v>1266</v>
      </c>
      <c r="L1626" s="3">
        <v>0.36458333333333331</v>
      </c>
      <c r="M1626" s="2" t="s">
        <v>682</v>
      </c>
      <c r="N1626" s="2" t="s">
        <v>500</v>
      </c>
      <c r="O1626" s="2"/>
      <c r="P1626" s="4"/>
      <c r="Q1626" s="4"/>
      <c r="R1626" s="4"/>
      <c r="S1626" s="4"/>
      <c r="T1626" s="4"/>
      <c r="U1626" s="4"/>
      <c r="V1626" s="4"/>
      <c r="W1626" s="4"/>
      <c r="X1626" s="4"/>
      <c r="Y1626" s="4"/>
      <c r="Z1626" s="4"/>
      <c r="AA1626" s="4"/>
      <c r="AB1626" s="4"/>
      <c r="AC1626" s="4"/>
      <c r="AD1626" s="4"/>
      <c r="AE1626" s="4"/>
      <c r="AF1626" s="4"/>
      <c r="AG1626" s="4"/>
      <c r="AH1626" s="4"/>
      <c r="AI1626" s="4"/>
      <c r="AJ1626" s="4"/>
      <c r="AK1626" s="4"/>
      <c r="AL1626" s="4"/>
      <c r="AM1626" s="4"/>
      <c r="AN1626" s="4"/>
      <c r="AO1626" s="4"/>
      <c r="AP1626" s="4"/>
      <c r="AQ1626" s="4"/>
      <c r="AR1626" s="4"/>
      <c r="AS1626" s="4"/>
      <c r="AT1626" s="4"/>
      <c r="AU1626" s="4"/>
      <c r="AV1626" s="4"/>
      <c r="AW1626" s="4"/>
      <c r="AX1626" s="4"/>
      <c r="AY1626" s="4"/>
      <c r="AZ1626" s="4"/>
      <c r="BA1626" s="4"/>
      <c r="BB1626" s="4"/>
      <c r="BC1626" s="4"/>
      <c r="BD1626" s="4"/>
      <c r="BE1626" s="4"/>
      <c r="BF1626" s="4"/>
      <c r="BG1626" s="4"/>
      <c r="BH1626" s="4"/>
      <c r="BI1626" s="4"/>
      <c r="BJ1626" s="4"/>
      <c r="BK1626" s="4"/>
      <c r="BL1626" s="4"/>
      <c r="BM1626" s="4"/>
      <c r="BN1626" s="4"/>
      <c r="BO1626" s="4"/>
      <c r="BP1626" s="4"/>
      <c r="BQ1626" s="4"/>
      <c r="BR1626" s="4"/>
      <c r="BS1626" s="4"/>
      <c r="BT1626" s="4"/>
      <c r="BU1626" s="4"/>
      <c r="BV1626" s="4"/>
      <c r="BW1626" s="4"/>
      <c r="BX1626" s="4"/>
      <c r="BY1626" s="4"/>
      <c r="BZ1626" s="4"/>
      <c r="CA1626" s="4"/>
      <c r="CB1626" s="4"/>
      <c r="CC1626" s="4"/>
      <c r="CD1626" s="4"/>
      <c r="CE1626" s="4"/>
      <c r="CF1626" s="4"/>
      <c r="CG1626" s="4"/>
      <c r="CH1626" s="4"/>
      <c r="CI1626" s="4"/>
      <c r="CJ1626" s="4"/>
      <c r="CK1626" s="4"/>
      <c r="CL1626" s="4"/>
      <c r="CM1626" s="4"/>
      <c r="CN1626" s="4"/>
      <c r="CO1626" s="4"/>
      <c r="CP1626" s="4"/>
      <c r="CQ1626" s="4"/>
      <c r="CR1626" s="4"/>
      <c r="CS1626" s="4"/>
      <c r="CT1626" s="4"/>
      <c r="CU1626" s="4"/>
      <c r="CV1626" s="4"/>
      <c r="CW1626" s="4"/>
      <c r="CX1626" s="4"/>
      <c r="CY1626" s="4"/>
      <c r="CZ1626" s="4"/>
      <c r="DA1626" s="4"/>
      <c r="DB1626" s="4"/>
      <c r="DC1626" s="4"/>
      <c r="DD1626" s="4"/>
      <c r="DE1626" s="4"/>
      <c r="DF1626" s="4"/>
      <c r="DG1626" s="4"/>
      <c r="DH1626" s="4"/>
      <c r="DI1626" s="4"/>
      <c r="DJ1626" s="4"/>
      <c r="DK1626" s="4"/>
      <c r="DL1626" s="4"/>
      <c r="DM1626" s="4"/>
      <c r="DN1626" s="4"/>
      <c r="DO1626" s="4"/>
      <c r="DP1626" s="4"/>
      <c r="DQ1626" s="4"/>
      <c r="DR1626" s="4"/>
    </row>
    <row r="1627" spans="1:122" x14ac:dyDescent="0.25">
      <c r="A1627" s="2" t="s">
        <v>15</v>
      </c>
      <c r="B1627" s="2" t="str">
        <f>"FES1162769595"</f>
        <v>FES1162769595</v>
      </c>
      <c r="C1627" s="2" t="s">
        <v>1190</v>
      </c>
      <c r="D1627" s="2">
        <v>1</v>
      </c>
      <c r="E1627" s="2" t="str">
        <f>"2170756651"</f>
        <v>2170756651</v>
      </c>
      <c r="F1627" s="2" t="s">
        <v>17</v>
      </c>
      <c r="G1627" s="2" t="s">
        <v>18</v>
      </c>
      <c r="H1627" s="2" t="s">
        <v>18</v>
      </c>
      <c r="I1627" s="2" t="s">
        <v>46</v>
      </c>
      <c r="J1627" s="2" t="s">
        <v>59</v>
      </c>
      <c r="K1627" s="2" t="s">
        <v>1266</v>
      </c>
      <c r="L1627" s="3">
        <v>0.4375</v>
      </c>
      <c r="M1627" s="2" t="s">
        <v>60</v>
      </c>
      <c r="N1627" s="2" t="s">
        <v>500</v>
      </c>
      <c r="O1627" s="2"/>
      <c r="P1627" s="4"/>
      <c r="Q1627" s="4"/>
      <c r="R1627" s="4"/>
      <c r="S1627" s="4"/>
      <c r="T1627" s="4"/>
      <c r="U1627" s="4"/>
      <c r="V1627" s="4"/>
      <c r="W1627" s="4"/>
      <c r="X1627" s="4"/>
      <c r="Y1627" s="4"/>
      <c r="Z1627" s="4"/>
      <c r="AA1627" s="4"/>
      <c r="AB1627" s="4"/>
      <c r="AC1627" s="4"/>
      <c r="AD1627" s="4"/>
      <c r="AE1627" s="4"/>
      <c r="AF1627" s="4"/>
      <c r="AG1627" s="4"/>
      <c r="AH1627" s="4"/>
      <c r="AI1627" s="4"/>
      <c r="AJ1627" s="4"/>
      <c r="AK1627" s="4"/>
      <c r="AL1627" s="4"/>
      <c r="AM1627" s="4"/>
      <c r="AN1627" s="4"/>
      <c r="AO1627" s="4"/>
      <c r="AP1627" s="4"/>
      <c r="AQ1627" s="4"/>
      <c r="AR1627" s="4"/>
      <c r="AS1627" s="4"/>
      <c r="AT1627" s="4"/>
      <c r="AU1627" s="4"/>
      <c r="AV1627" s="4"/>
      <c r="AW1627" s="4"/>
      <c r="AX1627" s="4"/>
      <c r="AY1627" s="4"/>
      <c r="AZ1627" s="4"/>
      <c r="BA1627" s="4"/>
      <c r="BB1627" s="4"/>
      <c r="BC1627" s="4"/>
      <c r="BD1627" s="4"/>
      <c r="BE1627" s="4"/>
      <c r="BF1627" s="4"/>
      <c r="BG1627" s="4"/>
      <c r="BH1627" s="4"/>
      <c r="BI1627" s="4"/>
      <c r="BJ1627" s="4"/>
      <c r="BK1627" s="4"/>
      <c r="BL1627" s="4"/>
      <c r="BM1627" s="4"/>
      <c r="BN1627" s="4"/>
      <c r="BO1627" s="4"/>
      <c r="BP1627" s="4"/>
      <c r="BQ1627" s="4"/>
      <c r="BR1627" s="4"/>
      <c r="BS1627" s="4"/>
      <c r="BT1627" s="4"/>
      <c r="BU1627" s="4"/>
      <c r="BV1627" s="4"/>
      <c r="BW1627" s="4"/>
      <c r="BX1627" s="4"/>
      <c r="BY1627" s="4"/>
      <c r="BZ1627" s="4"/>
      <c r="CA1627" s="4"/>
      <c r="CB1627" s="4"/>
      <c r="CC1627" s="4"/>
      <c r="CD1627" s="4"/>
      <c r="CE1627" s="4"/>
      <c r="CF1627" s="4"/>
      <c r="CG1627" s="4"/>
      <c r="CH1627" s="4"/>
      <c r="CI1627" s="4"/>
      <c r="CJ1627" s="4"/>
      <c r="CK1627" s="4"/>
      <c r="CL1627" s="4"/>
      <c r="CM1627" s="4"/>
      <c r="CN1627" s="4"/>
      <c r="CO1627" s="4"/>
      <c r="CP1627" s="4"/>
      <c r="CQ1627" s="4"/>
      <c r="CR1627" s="4"/>
      <c r="CS1627" s="4"/>
      <c r="CT1627" s="4"/>
      <c r="CU1627" s="4"/>
      <c r="CV1627" s="4"/>
      <c r="CW1627" s="4"/>
      <c r="CX1627" s="4"/>
      <c r="CY1627" s="4"/>
      <c r="CZ1627" s="4"/>
      <c r="DA1627" s="4"/>
      <c r="DB1627" s="4"/>
      <c r="DC1627" s="4"/>
      <c r="DD1627" s="4"/>
      <c r="DE1627" s="4"/>
      <c r="DF1627" s="4"/>
      <c r="DG1627" s="4"/>
      <c r="DH1627" s="4"/>
      <c r="DI1627" s="4"/>
      <c r="DJ1627" s="4"/>
      <c r="DK1627" s="4"/>
      <c r="DL1627" s="4"/>
      <c r="DM1627" s="4"/>
      <c r="DN1627" s="4"/>
      <c r="DO1627" s="4"/>
      <c r="DP1627" s="4"/>
      <c r="DQ1627" s="4"/>
      <c r="DR1627" s="4"/>
    </row>
    <row r="1628" spans="1:122" x14ac:dyDescent="0.25">
      <c r="A1628" s="2" t="s">
        <v>15</v>
      </c>
      <c r="B1628" s="2" t="str">
        <f>"FES1162769632"</f>
        <v>FES1162769632</v>
      </c>
      <c r="C1628" s="2" t="s">
        <v>1190</v>
      </c>
      <c r="D1628" s="2">
        <v>1</v>
      </c>
      <c r="E1628" s="2" t="str">
        <f>"2170756711"</f>
        <v>2170756711</v>
      </c>
      <c r="F1628" s="2" t="s">
        <v>17</v>
      </c>
      <c r="G1628" s="2" t="s">
        <v>18</v>
      </c>
      <c r="H1628" s="2" t="s">
        <v>18</v>
      </c>
      <c r="I1628" s="2" t="s">
        <v>290</v>
      </c>
      <c r="J1628" s="2" t="s">
        <v>51</v>
      </c>
      <c r="K1628" s="2" t="s">
        <v>1266</v>
      </c>
      <c r="L1628" s="3">
        <v>0.43055555555555558</v>
      </c>
      <c r="M1628" s="2" t="s">
        <v>1356</v>
      </c>
      <c r="N1628" s="2" t="s">
        <v>500</v>
      </c>
      <c r="O1628" s="2"/>
      <c r="P1628" s="4"/>
      <c r="Q1628" s="4"/>
      <c r="R1628" s="4"/>
      <c r="S1628" s="4"/>
      <c r="T1628" s="4"/>
      <c r="U1628" s="4"/>
      <c r="V1628" s="4"/>
      <c r="W1628" s="4"/>
      <c r="X1628" s="4"/>
      <c r="Y1628" s="4"/>
      <c r="Z1628" s="4"/>
      <c r="AA1628" s="4"/>
      <c r="AB1628" s="4"/>
      <c r="AC1628" s="4"/>
      <c r="AD1628" s="4"/>
      <c r="AE1628" s="4"/>
      <c r="AF1628" s="4"/>
      <c r="AG1628" s="4"/>
      <c r="AH1628" s="4"/>
      <c r="AI1628" s="4"/>
      <c r="AJ1628" s="4"/>
      <c r="AK1628" s="4"/>
      <c r="AL1628" s="4"/>
      <c r="AM1628" s="4"/>
      <c r="AN1628" s="4"/>
      <c r="AO1628" s="4"/>
      <c r="AP1628" s="4"/>
      <c r="AQ1628" s="4"/>
      <c r="AR1628" s="4"/>
      <c r="AS1628" s="4"/>
      <c r="AT1628" s="4"/>
      <c r="AU1628" s="4"/>
      <c r="AV1628" s="4"/>
      <c r="AW1628" s="4"/>
      <c r="AX1628" s="4"/>
      <c r="AY1628" s="4"/>
      <c r="AZ1628" s="4"/>
      <c r="BA1628" s="4"/>
      <c r="BB1628" s="4"/>
      <c r="BC1628" s="4"/>
      <c r="BD1628" s="4"/>
      <c r="BE1628" s="4"/>
      <c r="BF1628" s="4"/>
      <c r="BG1628" s="4"/>
      <c r="BH1628" s="4"/>
      <c r="BI1628" s="4"/>
      <c r="BJ1628" s="4"/>
      <c r="BK1628" s="4"/>
      <c r="BL1628" s="4"/>
      <c r="BM1628" s="4"/>
      <c r="BN1628" s="4"/>
      <c r="BO1628" s="4"/>
      <c r="BP1628" s="4"/>
      <c r="BQ1628" s="4"/>
      <c r="BR1628" s="4"/>
      <c r="BS1628" s="4"/>
      <c r="BT1628" s="4"/>
      <c r="BU1628" s="4"/>
      <c r="BV1628" s="4"/>
      <c r="BW1628" s="4"/>
      <c r="BX1628" s="4"/>
      <c r="BY1628" s="4"/>
      <c r="BZ1628" s="4"/>
      <c r="CA1628" s="4"/>
      <c r="CB1628" s="4"/>
      <c r="CC1628" s="4"/>
      <c r="CD1628" s="4"/>
      <c r="CE1628" s="4"/>
      <c r="CF1628" s="4"/>
      <c r="CG1628" s="4"/>
      <c r="CH1628" s="4"/>
      <c r="CI1628" s="4"/>
      <c r="CJ1628" s="4"/>
      <c r="CK1628" s="4"/>
      <c r="CL1628" s="4"/>
      <c r="CM1628" s="4"/>
      <c r="CN1628" s="4"/>
      <c r="CO1628" s="4"/>
      <c r="CP1628" s="4"/>
      <c r="CQ1628" s="4"/>
      <c r="CR1628" s="4"/>
      <c r="CS1628" s="4"/>
      <c r="CT1628" s="4"/>
      <c r="CU1628" s="4"/>
      <c r="CV1628" s="4"/>
      <c r="CW1628" s="4"/>
      <c r="CX1628" s="4"/>
      <c r="CY1628" s="4"/>
      <c r="CZ1628" s="4"/>
      <c r="DA1628" s="4"/>
      <c r="DB1628" s="4"/>
      <c r="DC1628" s="4"/>
      <c r="DD1628" s="4"/>
      <c r="DE1628" s="4"/>
      <c r="DF1628" s="4"/>
      <c r="DG1628" s="4"/>
      <c r="DH1628" s="4"/>
      <c r="DI1628" s="4"/>
      <c r="DJ1628" s="4"/>
      <c r="DK1628" s="4"/>
      <c r="DL1628" s="4"/>
      <c r="DM1628" s="4"/>
      <c r="DN1628" s="4"/>
      <c r="DO1628" s="4"/>
      <c r="DP1628" s="4"/>
      <c r="DQ1628" s="4"/>
      <c r="DR1628" s="4"/>
    </row>
    <row r="1629" spans="1:122" x14ac:dyDescent="0.25">
      <c r="A1629" s="2" t="s">
        <v>15</v>
      </c>
      <c r="B1629" s="2" t="str">
        <f>"FES1162769496"</f>
        <v>FES1162769496</v>
      </c>
      <c r="C1629" s="2" t="s">
        <v>1190</v>
      </c>
      <c r="D1629" s="2">
        <v>1</v>
      </c>
      <c r="E1629" s="2" t="str">
        <f>"2170754965"</f>
        <v>2170754965</v>
      </c>
      <c r="F1629" s="2" t="s">
        <v>17</v>
      </c>
      <c r="G1629" s="2" t="s">
        <v>18</v>
      </c>
      <c r="H1629" s="2" t="s">
        <v>36</v>
      </c>
      <c r="I1629" s="2" t="s">
        <v>37</v>
      </c>
      <c r="J1629" s="2" t="s">
        <v>272</v>
      </c>
      <c r="K1629" s="2" t="s">
        <v>1266</v>
      </c>
      <c r="L1629" s="3">
        <v>0.40277777777777773</v>
      </c>
      <c r="M1629" s="2" t="s">
        <v>538</v>
      </c>
      <c r="N1629" s="2" t="s">
        <v>500</v>
      </c>
      <c r="O1629" s="2"/>
      <c r="P1629" s="4"/>
      <c r="Q1629" s="4"/>
      <c r="R1629" s="4"/>
      <c r="S1629" s="4"/>
      <c r="T1629" s="4"/>
      <c r="U1629" s="4"/>
      <c r="V1629" s="4"/>
      <c r="W1629" s="4"/>
      <c r="X1629" s="4"/>
      <c r="Y1629" s="4"/>
      <c r="Z1629" s="4"/>
      <c r="AA1629" s="4"/>
      <c r="AB1629" s="4"/>
      <c r="AC1629" s="4"/>
      <c r="AD1629" s="4"/>
      <c r="AE1629" s="4"/>
      <c r="AF1629" s="4"/>
      <c r="AG1629" s="4"/>
      <c r="AH1629" s="4"/>
      <c r="AI1629" s="4"/>
      <c r="AJ1629" s="4"/>
      <c r="AK1629" s="4"/>
      <c r="AL1629" s="4"/>
      <c r="AM1629" s="4"/>
      <c r="AN1629" s="4"/>
      <c r="AO1629" s="4"/>
      <c r="AP1629" s="4"/>
      <c r="AQ1629" s="4"/>
      <c r="AR1629" s="4"/>
      <c r="AS1629" s="4"/>
      <c r="AT1629" s="4"/>
      <c r="AU1629" s="4"/>
      <c r="AV1629" s="4"/>
      <c r="AW1629" s="4"/>
      <c r="AX1629" s="4"/>
      <c r="AY1629" s="4"/>
      <c r="AZ1629" s="4"/>
      <c r="BA1629" s="4"/>
      <c r="BB1629" s="4"/>
      <c r="BC1629" s="4"/>
      <c r="BD1629" s="4"/>
      <c r="BE1629" s="4"/>
      <c r="BF1629" s="4"/>
      <c r="BG1629" s="4"/>
      <c r="BH1629" s="4"/>
      <c r="BI1629" s="4"/>
      <c r="BJ1629" s="4"/>
      <c r="BK1629" s="4"/>
      <c r="BL1629" s="4"/>
      <c r="BM1629" s="4"/>
      <c r="BN1629" s="4"/>
      <c r="BO1629" s="4"/>
      <c r="BP1629" s="4"/>
      <c r="BQ1629" s="4"/>
      <c r="BR1629" s="4"/>
      <c r="BS1629" s="4"/>
      <c r="BT1629" s="4"/>
      <c r="BU1629" s="4"/>
      <c r="BV1629" s="4"/>
      <c r="BW1629" s="4"/>
      <c r="BX1629" s="4"/>
      <c r="BY1629" s="4"/>
      <c r="BZ1629" s="4"/>
      <c r="CA1629" s="4"/>
      <c r="CB1629" s="4"/>
      <c r="CC1629" s="4"/>
      <c r="CD1629" s="4"/>
      <c r="CE1629" s="4"/>
      <c r="CF1629" s="4"/>
      <c r="CG1629" s="4"/>
      <c r="CH1629" s="4"/>
      <c r="CI1629" s="4"/>
      <c r="CJ1629" s="4"/>
      <c r="CK1629" s="4"/>
      <c r="CL1629" s="4"/>
      <c r="CM1629" s="4"/>
      <c r="CN1629" s="4"/>
      <c r="CO1629" s="4"/>
      <c r="CP1629" s="4"/>
      <c r="CQ1629" s="4"/>
      <c r="CR1629" s="4"/>
      <c r="CS1629" s="4"/>
      <c r="CT1629" s="4"/>
      <c r="CU1629" s="4"/>
      <c r="CV1629" s="4"/>
      <c r="CW1629" s="4"/>
      <c r="CX1629" s="4"/>
      <c r="CY1629" s="4"/>
      <c r="CZ1629" s="4"/>
      <c r="DA1629" s="4"/>
      <c r="DB1629" s="4"/>
      <c r="DC1629" s="4"/>
      <c r="DD1629" s="4"/>
      <c r="DE1629" s="4"/>
      <c r="DF1629" s="4"/>
      <c r="DG1629" s="4"/>
      <c r="DH1629" s="4"/>
      <c r="DI1629" s="4"/>
      <c r="DJ1629" s="4"/>
      <c r="DK1629" s="4"/>
      <c r="DL1629" s="4"/>
      <c r="DM1629" s="4"/>
      <c r="DN1629" s="4"/>
      <c r="DO1629" s="4"/>
      <c r="DP1629" s="4"/>
      <c r="DQ1629" s="4"/>
      <c r="DR1629" s="4"/>
    </row>
    <row r="1630" spans="1:122" s="13" customFormat="1" x14ac:dyDescent="0.25">
      <c r="A1630" s="5" t="s">
        <v>15</v>
      </c>
      <c r="B1630" s="5" t="str">
        <f>"FES1162769504"</f>
        <v>FES1162769504</v>
      </c>
      <c r="C1630" s="5" t="s">
        <v>1190</v>
      </c>
      <c r="D1630" s="5">
        <v>1</v>
      </c>
      <c r="E1630" s="5" t="str">
        <f>"2170755234"</f>
        <v>2170755234</v>
      </c>
      <c r="F1630" s="5" t="s">
        <v>17</v>
      </c>
      <c r="G1630" s="5" t="s">
        <v>18</v>
      </c>
      <c r="H1630" s="5" t="s">
        <v>33</v>
      </c>
      <c r="I1630" s="5" t="s">
        <v>1300</v>
      </c>
      <c r="J1630" s="5" t="s">
        <v>1301</v>
      </c>
      <c r="K1630" s="5" t="s">
        <v>1353</v>
      </c>
      <c r="L1630" s="9">
        <v>8.3333333333333329E-2</v>
      </c>
      <c r="M1630" s="5" t="s">
        <v>1819</v>
      </c>
      <c r="N1630" s="5" t="s">
        <v>500</v>
      </c>
      <c r="O1630" s="5"/>
      <c r="P1630" s="4"/>
      <c r="Q1630" s="4"/>
      <c r="R1630" s="4"/>
      <c r="S1630" s="4"/>
      <c r="T1630" s="4"/>
      <c r="U1630" s="4"/>
      <c r="V1630" s="4"/>
      <c r="W1630" s="4"/>
      <c r="X1630" s="4"/>
      <c r="Y1630" s="4"/>
      <c r="Z1630" s="4"/>
      <c r="AA1630" s="4"/>
      <c r="AB1630" s="4"/>
      <c r="AC1630" s="4"/>
      <c r="AD1630" s="4"/>
      <c r="AE1630" s="4"/>
      <c r="AF1630" s="4"/>
      <c r="AG1630" s="4"/>
      <c r="AH1630" s="4"/>
      <c r="AI1630" s="4"/>
      <c r="AJ1630" s="4"/>
      <c r="AK1630" s="4"/>
      <c r="AL1630" s="4"/>
      <c r="AM1630" s="4"/>
      <c r="AN1630" s="4"/>
      <c r="AO1630" s="4"/>
      <c r="AP1630" s="4"/>
      <c r="AQ1630" s="4"/>
      <c r="AR1630" s="4"/>
      <c r="AS1630" s="4"/>
      <c r="AT1630" s="4"/>
      <c r="AU1630" s="4"/>
      <c r="AV1630" s="4"/>
      <c r="AW1630" s="4"/>
      <c r="AX1630" s="4"/>
      <c r="AY1630" s="4"/>
      <c r="AZ1630" s="4"/>
      <c r="BA1630" s="4"/>
      <c r="BB1630" s="4"/>
      <c r="BC1630" s="4"/>
      <c r="BD1630" s="4"/>
      <c r="BE1630" s="4"/>
      <c r="BF1630" s="4"/>
      <c r="BG1630" s="4"/>
      <c r="BH1630" s="4"/>
      <c r="BI1630" s="4"/>
      <c r="BJ1630" s="4"/>
      <c r="BK1630" s="4"/>
      <c r="BL1630" s="4"/>
      <c r="BM1630" s="4"/>
      <c r="BN1630" s="4"/>
      <c r="BO1630" s="4"/>
      <c r="BP1630" s="4"/>
      <c r="BQ1630" s="4"/>
      <c r="BR1630" s="4"/>
      <c r="BS1630" s="4"/>
      <c r="BT1630" s="4"/>
      <c r="BU1630" s="4"/>
      <c r="BV1630" s="4"/>
      <c r="BW1630" s="4"/>
      <c r="BX1630" s="4"/>
      <c r="BY1630" s="4"/>
      <c r="BZ1630" s="4"/>
      <c r="CA1630" s="4"/>
      <c r="CB1630" s="4"/>
      <c r="CC1630" s="4"/>
      <c r="CD1630" s="4"/>
      <c r="CE1630" s="4"/>
      <c r="CF1630" s="4"/>
      <c r="CG1630" s="4"/>
      <c r="CH1630" s="4"/>
      <c r="CI1630" s="4"/>
      <c r="CJ1630" s="4"/>
      <c r="CK1630" s="4"/>
      <c r="CL1630" s="4"/>
      <c r="CM1630" s="4"/>
      <c r="CN1630" s="4"/>
      <c r="CO1630" s="4"/>
      <c r="CP1630" s="4"/>
      <c r="CQ1630" s="4"/>
      <c r="CR1630" s="4"/>
      <c r="CS1630" s="4"/>
      <c r="CT1630" s="4"/>
      <c r="CU1630" s="4"/>
      <c r="CV1630" s="4"/>
      <c r="CW1630" s="4"/>
      <c r="CX1630" s="4"/>
      <c r="CY1630" s="4"/>
      <c r="CZ1630" s="4"/>
      <c r="DA1630" s="4"/>
      <c r="DB1630" s="4"/>
      <c r="DC1630" s="4"/>
      <c r="DD1630" s="4"/>
      <c r="DE1630" s="4"/>
      <c r="DF1630" s="4"/>
      <c r="DG1630" s="4"/>
      <c r="DH1630" s="4"/>
      <c r="DI1630" s="4"/>
      <c r="DJ1630" s="4"/>
      <c r="DK1630" s="4"/>
      <c r="DL1630" s="4"/>
      <c r="DM1630" s="4"/>
      <c r="DN1630" s="4"/>
      <c r="DO1630" s="4"/>
      <c r="DP1630" s="4"/>
      <c r="DQ1630" s="4"/>
      <c r="DR1630" s="4"/>
    </row>
    <row r="1631" spans="1:122" x14ac:dyDescent="0.25">
      <c r="A1631" s="2" t="s">
        <v>15</v>
      </c>
      <c r="B1631" s="2" t="str">
        <f>"FES1162769534"</f>
        <v>FES1162769534</v>
      </c>
      <c r="C1631" s="2" t="s">
        <v>1190</v>
      </c>
      <c r="D1631" s="2">
        <v>1</v>
      </c>
      <c r="E1631" s="2" t="str">
        <f>"2170756049"</f>
        <v>2170756049</v>
      </c>
      <c r="F1631" s="2" t="s">
        <v>17</v>
      </c>
      <c r="G1631" s="2" t="s">
        <v>18</v>
      </c>
      <c r="H1631" s="2" t="s">
        <v>19</v>
      </c>
      <c r="I1631" s="2" t="s">
        <v>111</v>
      </c>
      <c r="J1631" s="2" t="s">
        <v>405</v>
      </c>
      <c r="K1631" s="2" t="s">
        <v>1266</v>
      </c>
      <c r="L1631" s="3">
        <v>0.33333333333333331</v>
      </c>
      <c r="M1631" s="2" t="s">
        <v>406</v>
      </c>
      <c r="N1631" s="2" t="s">
        <v>500</v>
      </c>
      <c r="O1631" s="2"/>
      <c r="P1631" s="4"/>
      <c r="Q1631" s="4"/>
      <c r="R1631" s="4"/>
      <c r="S1631" s="4"/>
      <c r="T1631" s="4"/>
      <c r="U1631" s="4"/>
      <c r="V1631" s="4"/>
      <c r="W1631" s="4"/>
      <c r="X1631" s="4"/>
      <c r="Y1631" s="4"/>
      <c r="Z1631" s="4"/>
      <c r="AA1631" s="4"/>
      <c r="AB1631" s="4"/>
      <c r="AC1631" s="4"/>
      <c r="AD1631" s="4"/>
      <c r="AE1631" s="4"/>
      <c r="AF1631" s="4"/>
      <c r="AG1631" s="4"/>
      <c r="AH1631" s="4"/>
      <c r="AI1631" s="4"/>
      <c r="AJ1631" s="4"/>
      <c r="AK1631" s="4"/>
      <c r="AL1631" s="4"/>
      <c r="AM1631" s="4"/>
      <c r="AN1631" s="4"/>
      <c r="AO1631" s="4"/>
      <c r="AP1631" s="4"/>
      <c r="AQ1631" s="4"/>
      <c r="AR1631" s="4"/>
      <c r="AS1631" s="4"/>
      <c r="AT1631" s="4"/>
      <c r="AU1631" s="4"/>
      <c r="AV1631" s="4"/>
      <c r="AW1631" s="4"/>
      <c r="AX1631" s="4"/>
      <c r="AY1631" s="4"/>
      <c r="AZ1631" s="4"/>
      <c r="BA1631" s="4"/>
      <c r="BB1631" s="4"/>
      <c r="BC1631" s="4"/>
      <c r="BD1631" s="4"/>
      <c r="BE1631" s="4"/>
      <c r="BF1631" s="4"/>
      <c r="BG1631" s="4"/>
      <c r="BH1631" s="4"/>
      <c r="BI1631" s="4"/>
      <c r="BJ1631" s="4"/>
      <c r="BK1631" s="4"/>
      <c r="BL1631" s="4"/>
      <c r="BM1631" s="4"/>
      <c r="BN1631" s="4"/>
      <c r="BO1631" s="4"/>
      <c r="BP1631" s="4"/>
      <c r="BQ1631" s="4"/>
      <c r="BR1631" s="4"/>
      <c r="BS1631" s="4"/>
      <c r="BT1631" s="4"/>
      <c r="BU1631" s="4"/>
      <c r="BV1631" s="4"/>
      <c r="BW1631" s="4"/>
      <c r="BX1631" s="4"/>
      <c r="BY1631" s="4"/>
      <c r="BZ1631" s="4"/>
      <c r="CA1631" s="4"/>
      <c r="CB1631" s="4"/>
      <c r="CC1631" s="4"/>
      <c r="CD1631" s="4"/>
      <c r="CE1631" s="4"/>
      <c r="CF1631" s="4"/>
      <c r="CG1631" s="4"/>
      <c r="CH1631" s="4"/>
      <c r="CI1631" s="4"/>
      <c r="CJ1631" s="4"/>
      <c r="CK1631" s="4"/>
      <c r="CL1631" s="4"/>
      <c r="CM1631" s="4"/>
      <c r="CN1631" s="4"/>
      <c r="CO1631" s="4"/>
      <c r="CP1631" s="4"/>
      <c r="CQ1631" s="4"/>
      <c r="CR1631" s="4"/>
      <c r="CS1631" s="4"/>
      <c r="CT1631" s="4"/>
      <c r="CU1631" s="4"/>
      <c r="CV1631" s="4"/>
      <c r="CW1631" s="4"/>
      <c r="CX1631" s="4"/>
      <c r="CY1631" s="4"/>
      <c r="CZ1631" s="4"/>
      <c r="DA1631" s="4"/>
      <c r="DB1631" s="4"/>
      <c r="DC1631" s="4"/>
      <c r="DD1631" s="4"/>
      <c r="DE1631" s="4"/>
      <c r="DF1631" s="4"/>
      <c r="DG1631" s="4"/>
      <c r="DH1631" s="4"/>
      <c r="DI1631" s="4"/>
      <c r="DJ1631" s="4"/>
      <c r="DK1631" s="4"/>
      <c r="DL1631" s="4"/>
      <c r="DM1631" s="4"/>
      <c r="DN1631" s="4"/>
      <c r="DO1631" s="4"/>
      <c r="DP1631" s="4"/>
      <c r="DQ1631" s="4"/>
      <c r="DR1631" s="4"/>
    </row>
    <row r="1632" spans="1:122" x14ac:dyDescent="0.25">
      <c r="A1632" s="2" t="s">
        <v>15</v>
      </c>
      <c r="B1632" s="2" t="str">
        <f>"FES1162769721"</f>
        <v>FES1162769721</v>
      </c>
      <c r="C1632" s="2" t="s">
        <v>1190</v>
      </c>
      <c r="D1632" s="2">
        <v>1</v>
      </c>
      <c r="E1632" s="2" t="str">
        <f>"2170756876"</f>
        <v>2170756876</v>
      </c>
      <c r="F1632" s="2" t="s">
        <v>17</v>
      </c>
      <c r="G1632" s="2" t="s">
        <v>18</v>
      </c>
      <c r="H1632" s="2" t="s">
        <v>19</v>
      </c>
      <c r="I1632" s="2" t="s">
        <v>20</v>
      </c>
      <c r="J1632" s="2" t="s">
        <v>1302</v>
      </c>
      <c r="K1632" s="2" t="s">
        <v>1266</v>
      </c>
      <c r="L1632" s="3">
        <v>0.36249999999999999</v>
      </c>
      <c r="M1632" s="2" t="s">
        <v>1357</v>
      </c>
      <c r="N1632" s="2" t="s">
        <v>500</v>
      </c>
      <c r="O1632" s="2"/>
      <c r="P1632" s="4"/>
      <c r="Q1632" s="4"/>
      <c r="R1632" s="4"/>
      <c r="S1632" s="4"/>
      <c r="T1632" s="4"/>
      <c r="U1632" s="4"/>
      <c r="V1632" s="4"/>
      <c r="W1632" s="4"/>
      <c r="X1632" s="4"/>
      <c r="Y1632" s="4"/>
      <c r="Z1632" s="4"/>
      <c r="AA1632" s="4"/>
      <c r="AB1632" s="4"/>
      <c r="AC1632" s="4"/>
      <c r="AD1632" s="4"/>
      <c r="AE1632" s="4"/>
      <c r="AF1632" s="4"/>
      <c r="AG1632" s="4"/>
      <c r="AH1632" s="4"/>
      <c r="AI1632" s="4"/>
      <c r="AJ1632" s="4"/>
      <c r="AK1632" s="4"/>
      <c r="AL1632" s="4"/>
      <c r="AM1632" s="4"/>
      <c r="AN1632" s="4"/>
      <c r="AO1632" s="4"/>
      <c r="AP1632" s="4"/>
      <c r="AQ1632" s="4"/>
      <c r="AR1632" s="4"/>
      <c r="AS1632" s="4"/>
      <c r="AT1632" s="4"/>
      <c r="AU1632" s="4"/>
      <c r="AV1632" s="4"/>
      <c r="AW1632" s="4"/>
      <c r="AX1632" s="4"/>
      <c r="AY1632" s="4"/>
      <c r="AZ1632" s="4"/>
      <c r="BA1632" s="4"/>
      <c r="BB1632" s="4"/>
      <c r="BC1632" s="4"/>
      <c r="BD1632" s="4"/>
      <c r="BE1632" s="4"/>
      <c r="BF1632" s="4"/>
      <c r="BG1632" s="4"/>
      <c r="BH1632" s="4"/>
      <c r="BI1632" s="4"/>
      <c r="BJ1632" s="4"/>
      <c r="BK1632" s="4"/>
      <c r="BL1632" s="4"/>
      <c r="BM1632" s="4"/>
      <c r="BN1632" s="4"/>
      <c r="BO1632" s="4"/>
      <c r="BP1632" s="4"/>
      <c r="BQ1632" s="4"/>
      <c r="BR1632" s="4"/>
      <c r="BS1632" s="4"/>
      <c r="BT1632" s="4"/>
      <c r="BU1632" s="4"/>
      <c r="BV1632" s="4"/>
      <c r="BW1632" s="4"/>
      <c r="BX1632" s="4"/>
      <c r="BY1632" s="4"/>
      <c r="BZ1632" s="4"/>
      <c r="CA1632" s="4"/>
      <c r="CB1632" s="4"/>
      <c r="CC1632" s="4"/>
      <c r="CD1632" s="4"/>
      <c r="CE1632" s="4"/>
      <c r="CF1632" s="4"/>
      <c r="CG1632" s="4"/>
      <c r="CH1632" s="4"/>
      <c r="CI1632" s="4"/>
      <c r="CJ1632" s="4"/>
      <c r="CK1632" s="4"/>
      <c r="CL1632" s="4"/>
      <c r="CM1632" s="4"/>
      <c r="CN1632" s="4"/>
      <c r="CO1632" s="4"/>
      <c r="CP1632" s="4"/>
      <c r="CQ1632" s="4"/>
      <c r="CR1632" s="4"/>
      <c r="CS1632" s="4"/>
      <c r="CT1632" s="4"/>
      <c r="CU1632" s="4"/>
      <c r="CV1632" s="4"/>
      <c r="CW1632" s="4"/>
      <c r="CX1632" s="4"/>
      <c r="CY1632" s="4"/>
      <c r="CZ1632" s="4"/>
      <c r="DA1632" s="4"/>
      <c r="DB1632" s="4"/>
      <c r="DC1632" s="4"/>
      <c r="DD1632" s="4"/>
      <c r="DE1632" s="4"/>
      <c r="DF1632" s="4"/>
      <c r="DG1632" s="4"/>
      <c r="DH1632" s="4"/>
      <c r="DI1632" s="4"/>
      <c r="DJ1632" s="4"/>
      <c r="DK1632" s="4"/>
      <c r="DL1632" s="4"/>
      <c r="DM1632" s="4"/>
      <c r="DN1632" s="4"/>
      <c r="DO1632" s="4"/>
      <c r="DP1632" s="4"/>
      <c r="DQ1632" s="4"/>
      <c r="DR1632" s="4"/>
    </row>
    <row r="1633" spans="1:122" x14ac:dyDescent="0.25">
      <c r="A1633" s="2" t="s">
        <v>15</v>
      </c>
      <c r="B1633" s="2" t="str">
        <f>"FES1162769872"</f>
        <v>FES1162769872</v>
      </c>
      <c r="C1633" s="2" t="s">
        <v>1190</v>
      </c>
      <c r="D1633" s="2">
        <v>1</v>
      </c>
      <c r="E1633" s="2" t="str">
        <f>"2170757161"</f>
        <v>2170757161</v>
      </c>
      <c r="F1633" s="2" t="s">
        <v>205</v>
      </c>
      <c r="G1633" s="2" t="s">
        <v>206</v>
      </c>
      <c r="H1633" s="2" t="s">
        <v>1303</v>
      </c>
      <c r="I1633" s="2" t="s">
        <v>105</v>
      </c>
      <c r="J1633" s="2" t="s">
        <v>309</v>
      </c>
      <c r="K1633" s="2" t="s">
        <v>1266</v>
      </c>
      <c r="L1633" s="3">
        <v>0.4375</v>
      </c>
      <c r="M1633" s="2" t="s">
        <v>1358</v>
      </c>
      <c r="N1633" s="2" t="s">
        <v>500</v>
      </c>
      <c r="O1633" s="2"/>
      <c r="P1633" s="4"/>
      <c r="Q1633" s="4"/>
      <c r="R1633" s="4"/>
      <c r="S1633" s="4"/>
      <c r="T1633" s="4"/>
      <c r="U1633" s="4"/>
      <c r="V1633" s="4"/>
      <c r="W1633" s="4"/>
      <c r="X1633" s="4"/>
      <c r="Y1633" s="4"/>
      <c r="Z1633" s="4"/>
      <c r="AA1633" s="4"/>
      <c r="AB1633" s="4"/>
      <c r="AC1633" s="4"/>
      <c r="AD1633" s="4"/>
      <c r="AE1633" s="4"/>
      <c r="AF1633" s="4"/>
      <c r="AG1633" s="4"/>
      <c r="AH1633" s="4"/>
      <c r="AI1633" s="4"/>
      <c r="AJ1633" s="4"/>
      <c r="AK1633" s="4"/>
      <c r="AL1633" s="4"/>
      <c r="AM1633" s="4"/>
      <c r="AN1633" s="4"/>
      <c r="AO1633" s="4"/>
      <c r="AP1633" s="4"/>
      <c r="AQ1633" s="4"/>
      <c r="AR1633" s="4"/>
      <c r="AS1633" s="4"/>
      <c r="AT1633" s="4"/>
      <c r="AU1633" s="4"/>
      <c r="AV1633" s="4"/>
      <c r="AW1633" s="4"/>
      <c r="AX1633" s="4"/>
      <c r="AY1633" s="4"/>
      <c r="AZ1633" s="4"/>
      <c r="BA1633" s="4"/>
      <c r="BB1633" s="4"/>
      <c r="BC1633" s="4"/>
      <c r="BD1633" s="4"/>
      <c r="BE1633" s="4"/>
      <c r="BF1633" s="4"/>
      <c r="BG1633" s="4"/>
      <c r="BH1633" s="4"/>
      <c r="BI1633" s="4"/>
      <c r="BJ1633" s="4"/>
      <c r="BK1633" s="4"/>
      <c r="BL1633" s="4"/>
      <c r="BM1633" s="4"/>
      <c r="BN1633" s="4"/>
      <c r="BO1633" s="4"/>
      <c r="BP1633" s="4"/>
      <c r="BQ1633" s="4"/>
      <c r="BR1633" s="4"/>
      <c r="BS1633" s="4"/>
      <c r="BT1633" s="4"/>
      <c r="BU1633" s="4"/>
      <c r="BV1633" s="4"/>
      <c r="BW1633" s="4"/>
      <c r="BX1633" s="4"/>
      <c r="BY1633" s="4"/>
      <c r="BZ1633" s="4"/>
      <c r="CA1633" s="4"/>
      <c r="CB1633" s="4"/>
      <c r="CC1633" s="4"/>
      <c r="CD1633" s="4"/>
      <c r="CE1633" s="4"/>
      <c r="CF1633" s="4"/>
      <c r="CG1633" s="4"/>
      <c r="CH1633" s="4"/>
      <c r="CI1633" s="4"/>
      <c r="CJ1633" s="4"/>
      <c r="CK1633" s="4"/>
      <c r="CL1633" s="4"/>
      <c r="CM1633" s="4"/>
      <c r="CN1633" s="4"/>
      <c r="CO1633" s="4"/>
      <c r="CP1633" s="4"/>
      <c r="CQ1633" s="4"/>
      <c r="CR1633" s="4"/>
      <c r="CS1633" s="4"/>
      <c r="CT1633" s="4"/>
      <c r="CU1633" s="4"/>
      <c r="CV1633" s="4"/>
      <c r="CW1633" s="4"/>
      <c r="CX1633" s="4"/>
      <c r="CY1633" s="4"/>
      <c r="CZ1633" s="4"/>
      <c r="DA1633" s="4"/>
      <c r="DB1633" s="4"/>
      <c r="DC1633" s="4"/>
      <c r="DD1633" s="4"/>
      <c r="DE1633" s="4"/>
      <c r="DF1633" s="4"/>
      <c r="DG1633" s="4"/>
      <c r="DH1633" s="4"/>
      <c r="DI1633" s="4"/>
      <c r="DJ1633" s="4"/>
      <c r="DK1633" s="4"/>
      <c r="DL1633" s="4"/>
      <c r="DM1633" s="4"/>
      <c r="DN1633" s="4"/>
      <c r="DO1633" s="4"/>
      <c r="DP1633" s="4"/>
      <c r="DQ1633" s="4"/>
      <c r="DR1633" s="4"/>
    </row>
    <row r="1634" spans="1:122" x14ac:dyDescent="0.25">
      <c r="A1634" s="2" t="s">
        <v>15</v>
      </c>
      <c r="B1634" s="2" t="str">
        <f>"FES1162769474"</f>
        <v>FES1162769474</v>
      </c>
      <c r="C1634" s="2" t="s">
        <v>1190</v>
      </c>
      <c r="D1634" s="2">
        <v>1</v>
      </c>
      <c r="E1634" s="2" t="str">
        <f>"2170754693"</f>
        <v>2170754693</v>
      </c>
      <c r="F1634" s="2" t="s">
        <v>17</v>
      </c>
      <c r="G1634" s="2" t="s">
        <v>18</v>
      </c>
      <c r="H1634" s="2" t="s">
        <v>36</v>
      </c>
      <c r="I1634" s="2" t="s">
        <v>37</v>
      </c>
      <c r="J1634" s="2" t="s">
        <v>912</v>
      </c>
      <c r="K1634" s="2" t="s">
        <v>1266</v>
      </c>
      <c r="L1634" s="3">
        <v>0.40625</v>
      </c>
      <c r="M1634" s="2" t="s">
        <v>1359</v>
      </c>
      <c r="N1634" s="2" t="s">
        <v>500</v>
      </c>
      <c r="O1634" s="2"/>
      <c r="P1634" s="4"/>
      <c r="Q1634" s="4"/>
      <c r="R1634" s="4"/>
      <c r="S1634" s="4"/>
      <c r="T1634" s="4"/>
      <c r="U1634" s="4"/>
      <c r="V1634" s="4"/>
      <c r="W1634" s="4"/>
      <c r="X1634" s="4"/>
      <c r="Y1634" s="4"/>
      <c r="Z1634" s="4"/>
      <c r="AA1634" s="4"/>
      <c r="AB1634" s="4"/>
      <c r="AC1634" s="4"/>
      <c r="AD1634" s="4"/>
      <c r="AE1634" s="4"/>
      <c r="AF1634" s="4"/>
      <c r="AG1634" s="4"/>
      <c r="AH1634" s="4"/>
      <c r="AI1634" s="4"/>
      <c r="AJ1634" s="4"/>
      <c r="AK1634" s="4"/>
      <c r="AL1634" s="4"/>
      <c r="AM1634" s="4"/>
      <c r="AN1634" s="4"/>
      <c r="AO1634" s="4"/>
      <c r="AP1634" s="4"/>
      <c r="AQ1634" s="4"/>
      <c r="AR1634" s="4"/>
      <c r="AS1634" s="4"/>
      <c r="AT1634" s="4"/>
      <c r="AU1634" s="4"/>
      <c r="AV1634" s="4"/>
      <c r="AW1634" s="4"/>
      <c r="AX1634" s="4"/>
      <c r="AY1634" s="4"/>
      <c r="AZ1634" s="4"/>
      <c r="BA1634" s="4"/>
      <c r="BB1634" s="4"/>
      <c r="BC1634" s="4"/>
      <c r="BD1634" s="4"/>
      <c r="BE1634" s="4"/>
      <c r="BF1634" s="4"/>
      <c r="BG1634" s="4"/>
      <c r="BH1634" s="4"/>
      <c r="BI1634" s="4"/>
      <c r="BJ1634" s="4"/>
      <c r="BK1634" s="4"/>
      <c r="BL1634" s="4"/>
      <c r="BM1634" s="4"/>
      <c r="BN1634" s="4"/>
      <c r="BO1634" s="4"/>
      <c r="BP1634" s="4"/>
      <c r="BQ1634" s="4"/>
      <c r="BR1634" s="4"/>
      <c r="BS1634" s="4"/>
      <c r="BT1634" s="4"/>
      <c r="BU1634" s="4"/>
      <c r="BV1634" s="4"/>
      <c r="BW1634" s="4"/>
      <c r="BX1634" s="4"/>
      <c r="BY1634" s="4"/>
      <c r="BZ1634" s="4"/>
      <c r="CA1634" s="4"/>
      <c r="CB1634" s="4"/>
      <c r="CC1634" s="4"/>
      <c r="CD1634" s="4"/>
      <c r="CE1634" s="4"/>
      <c r="CF1634" s="4"/>
      <c r="CG1634" s="4"/>
      <c r="CH1634" s="4"/>
      <c r="CI1634" s="4"/>
      <c r="CJ1634" s="4"/>
      <c r="CK1634" s="4"/>
      <c r="CL1634" s="4"/>
      <c r="CM1634" s="4"/>
      <c r="CN1634" s="4"/>
      <c r="CO1634" s="4"/>
      <c r="CP1634" s="4"/>
      <c r="CQ1634" s="4"/>
      <c r="CR1634" s="4"/>
      <c r="CS1634" s="4"/>
      <c r="CT1634" s="4"/>
      <c r="CU1634" s="4"/>
      <c r="CV1634" s="4"/>
      <c r="CW1634" s="4"/>
      <c r="CX1634" s="4"/>
      <c r="CY1634" s="4"/>
      <c r="CZ1634" s="4"/>
      <c r="DA1634" s="4"/>
      <c r="DB1634" s="4"/>
      <c r="DC1634" s="4"/>
      <c r="DD1634" s="4"/>
      <c r="DE1634" s="4"/>
      <c r="DF1634" s="4"/>
      <c r="DG1634" s="4"/>
      <c r="DH1634" s="4"/>
      <c r="DI1634" s="4"/>
      <c r="DJ1634" s="4"/>
      <c r="DK1634" s="4"/>
      <c r="DL1634" s="4"/>
      <c r="DM1634" s="4"/>
      <c r="DN1634" s="4"/>
      <c r="DO1634" s="4"/>
      <c r="DP1634" s="4"/>
      <c r="DQ1634" s="4"/>
      <c r="DR1634" s="4"/>
    </row>
    <row r="1635" spans="1:122" x14ac:dyDescent="0.25">
      <c r="A1635" s="2" t="s">
        <v>15</v>
      </c>
      <c r="B1635" s="2" t="str">
        <f>"FES1162769548"</f>
        <v>FES1162769548</v>
      </c>
      <c r="C1635" s="2" t="s">
        <v>1190</v>
      </c>
      <c r="D1635" s="2">
        <v>1</v>
      </c>
      <c r="E1635" s="2" t="str">
        <f>"2170756077"</f>
        <v>2170756077</v>
      </c>
      <c r="F1635" s="2" t="s">
        <v>17</v>
      </c>
      <c r="G1635" s="2" t="s">
        <v>18</v>
      </c>
      <c r="H1635" s="2" t="s">
        <v>18</v>
      </c>
      <c r="I1635" s="2" t="s">
        <v>46</v>
      </c>
      <c r="J1635" s="2" t="s">
        <v>59</v>
      </c>
      <c r="K1635" s="2" t="s">
        <v>1266</v>
      </c>
      <c r="L1635" s="3">
        <v>0.4375</v>
      </c>
      <c r="M1635" s="2" t="s">
        <v>60</v>
      </c>
      <c r="N1635" s="2" t="s">
        <v>500</v>
      </c>
      <c r="O1635" s="2"/>
      <c r="P1635" s="4"/>
      <c r="Q1635" s="4"/>
      <c r="R1635" s="4"/>
      <c r="S1635" s="4"/>
      <c r="T1635" s="4"/>
      <c r="U1635" s="4"/>
      <c r="V1635" s="4"/>
      <c r="W1635" s="4"/>
      <c r="X1635" s="4"/>
      <c r="Y1635" s="4"/>
      <c r="Z1635" s="4"/>
      <c r="AA1635" s="4"/>
      <c r="AB1635" s="4"/>
      <c r="AC1635" s="4"/>
      <c r="AD1635" s="4"/>
      <c r="AE1635" s="4"/>
      <c r="AF1635" s="4"/>
      <c r="AG1635" s="4"/>
      <c r="AH1635" s="4"/>
      <c r="AI1635" s="4"/>
      <c r="AJ1635" s="4"/>
      <c r="AK1635" s="4"/>
      <c r="AL1635" s="4"/>
      <c r="AM1635" s="4"/>
      <c r="AN1635" s="4"/>
      <c r="AO1635" s="4"/>
      <c r="AP1635" s="4"/>
      <c r="AQ1635" s="4"/>
      <c r="AR1635" s="4"/>
      <c r="AS1635" s="4"/>
      <c r="AT1635" s="4"/>
      <c r="AU1635" s="4"/>
      <c r="AV1635" s="4"/>
      <c r="AW1635" s="4"/>
      <c r="AX1635" s="4"/>
      <c r="AY1635" s="4"/>
      <c r="AZ1635" s="4"/>
      <c r="BA1635" s="4"/>
      <c r="BB1635" s="4"/>
      <c r="BC1635" s="4"/>
      <c r="BD1635" s="4"/>
      <c r="BE1635" s="4"/>
      <c r="BF1635" s="4"/>
      <c r="BG1635" s="4"/>
      <c r="BH1635" s="4"/>
      <c r="BI1635" s="4"/>
      <c r="BJ1635" s="4"/>
      <c r="BK1635" s="4"/>
      <c r="BL1635" s="4"/>
      <c r="BM1635" s="4"/>
      <c r="BN1635" s="4"/>
      <c r="BO1635" s="4"/>
      <c r="BP1635" s="4"/>
      <c r="BQ1635" s="4"/>
      <c r="BR1635" s="4"/>
      <c r="BS1635" s="4"/>
      <c r="BT1635" s="4"/>
      <c r="BU1635" s="4"/>
      <c r="BV1635" s="4"/>
      <c r="BW1635" s="4"/>
      <c r="BX1635" s="4"/>
      <c r="BY1635" s="4"/>
      <c r="BZ1635" s="4"/>
      <c r="CA1635" s="4"/>
      <c r="CB1635" s="4"/>
      <c r="CC1635" s="4"/>
      <c r="CD1635" s="4"/>
      <c r="CE1635" s="4"/>
      <c r="CF1635" s="4"/>
      <c r="CG1635" s="4"/>
      <c r="CH1635" s="4"/>
      <c r="CI1635" s="4"/>
      <c r="CJ1635" s="4"/>
      <c r="CK1635" s="4"/>
      <c r="CL1635" s="4"/>
      <c r="CM1635" s="4"/>
      <c r="CN1635" s="4"/>
      <c r="CO1635" s="4"/>
      <c r="CP1635" s="4"/>
      <c r="CQ1635" s="4"/>
      <c r="CR1635" s="4"/>
      <c r="CS1635" s="4"/>
      <c r="CT1635" s="4"/>
      <c r="CU1635" s="4"/>
      <c r="CV1635" s="4"/>
      <c r="CW1635" s="4"/>
      <c r="CX1635" s="4"/>
      <c r="CY1635" s="4"/>
      <c r="CZ1635" s="4"/>
      <c r="DA1635" s="4"/>
      <c r="DB1635" s="4"/>
      <c r="DC1635" s="4"/>
      <c r="DD1635" s="4"/>
      <c r="DE1635" s="4"/>
      <c r="DF1635" s="4"/>
      <c r="DG1635" s="4"/>
      <c r="DH1635" s="4"/>
      <c r="DI1635" s="4"/>
      <c r="DJ1635" s="4"/>
      <c r="DK1635" s="4"/>
      <c r="DL1635" s="4"/>
      <c r="DM1635" s="4"/>
      <c r="DN1635" s="4"/>
      <c r="DO1635" s="4"/>
      <c r="DP1635" s="4"/>
      <c r="DQ1635" s="4"/>
      <c r="DR1635" s="4"/>
    </row>
    <row r="1636" spans="1:122" x14ac:dyDescent="0.25">
      <c r="A1636" s="2" t="s">
        <v>15</v>
      </c>
      <c r="B1636" s="2" t="str">
        <f>"FES1162768901"</f>
        <v>FES1162768901</v>
      </c>
      <c r="C1636" s="2" t="s">
        <v>1190</v>
      </c>
      <c r="D1636" s="2">
        <v>1</v>
      </c>
      <c r="E1636" s="2" t="str">
        <f>"2170756486"</f>
        <v>2170756486</v>
      </c>
      <c r="F1636" s="2" t="s">
        <v>17</v>
      </c>
      <c r="G1636" s="2" t="s">
        <v>18</v>
      </c>
      <c r="H1636" s="2" t="s">
        <v>18</v>
      </c>
      <c r="I1636" s="2" t="s">
        <v>63</v>
      </c>
      <c r="J1636" s="2" t="s">
        <v>93</v>
      </c>
      <c r="K1636" s="2" t="s">
        <v>1266</v>
      </c>
      <c r="L1636" s="3">
        <v>0.35486111111111113</v>
      </c>
      <c r="M1636" s="2" t="s">
        <v>736</v>
      </c>
      <c r="N1636" s="2" t="s">
        <v>500</v>
      </c>
      <c r="O1636" s="2"/>
      <c r="P1636" s="4"/>
      <c r="Q1636" s="4"/>
      <c r="R1636" s="4"/>
      <c r="S1636" s="4"/>
      <c r="T1636" s="4"/>
      <c r="U1636" s="4"/>
      <c r="V1636" s="4"/>
      <c r="W1636" s="4"/>
      <c r="X1636" s="4"/>
      <c r="Y1636" s="4"/>
      <c r="Z1636" s="4"/>
      <c r="AA1636" s="4"/>
      <c r="AB1636" s="4"/>
      <c r="AC1636" s="4"/>
      <c r="AD1636" s="4"/>
      <c r="AE1636" s="4"/>
      <c r="AF1636" s="4"/>
      <c r="AG1636" s="4"/>
      <c r="AH1636" s="4"/>
      <c r="AI1636" s="4"/>
      <c r="AJ1636" s="4"/>
      <c r="AK1636" s="4"/>
      <c r="AL1636" s="4"/>
      <c r="AM1636" s="4"/>
      <c r="AN1636" s="4"/>
      <c r="AO1636" s="4"/>
      <c r="AP1636" s="4"/>
      <c r="AQ1636" s="4"/>
      <c r="AR1636" s="4"/>
      <c r="AS1636" s="4"/>
      <c r="AT1636" s="4"/>
      <c r="AU1636" s="4"/>
      <c r="AV1636" s="4"/>
      <c r="AW1636" s="4"/>
      <c r="AX1636" s="4"/>
      <c r="AY1636" s="4"/>
      <c r="AZ1636" s="4"/>
      <c r="BA1636" s="4"/>
      <c r="BB1636" s="4"/>
      <c r="BC1636" s="4"/>
      <c r="BD1636" s="4"/>
      <c r="BE1636" s="4"/>
      <c r="BF1636" s="4"/>
      <c r="BG1636" s="4"/>
      <c r="BH1636" s="4"/>
      <c r="BI1636" s="4"/>
      <c r="BJ1636" s="4"/>
      <c r="BK1636" s="4"/>
      <c r="BL1636" s="4"/>
      <c r="BM1636" s="4"/>
      <c r="BN1636" s="4"/>
      <c r="BO1636" s="4"/>
      <c r="BP1636" s="4"/>
      <c r="BQ1636" s="4"/>
      <c r="BR1636" s="4"/>
      <c r="BS1636" s="4"/>
      <c r="BT1636" s="4"/>
      <c r="BU1636" s="4"/>
      <c r="BV1636" s="4"/>
      <c r="BW1636" s="4"/>
      <c r="BX1636" s="4"/>
      <c r="BY1636" s="4"/>
      <c r="BZ1636" s="4"/>
      <c r="CA1636" s="4"/>
      <c r="CB1636" s="4"/>
      <c r="CC1636" s="4"/>
      <c r="CD1636" s="4"/>
      <c r="CE1636" s="4"/>
      <c r="CF1636" s="4"/>
      <c r="CG1636" s="4"/>
      <c r="CH1636" s="4"/>
      <c r="CI1636" s="4"/>
      <c r="CJ1636" s="4"/>
      <c r="CK1636" s="4"/>
      <c r="CL1636" s="4"/>
      <c r="CM1636" s="4"/>
      <c r="CN1636" s="4"/>
      <c r="CO1636" s="4"/>
      <c r="CP1636" s="4"/>
      <c r="CQ1636" s="4"/>
      <c r="CR1636" s="4"/>
      <c r="CS1636" s="4"/>
      <c r="CT1636" s="4"/>
      <c r="CU1636" s="4"/>
      <c r="CV1636" s="4"/>
      <c r="CW1636" s="4"/>
      <c r="CX1636" s="4"/>
      <c r="CY1636" s="4"/>
      <c r="CZ1636" s="4"/>
      <c r="DA1636" s="4"/>
      <c r="DB1636" s="4"/>
      <c r="DC1636" s="4"/>
      <c r="DD1636" s="4"/>
      <c r="DE1636" s="4"/>
      <c r="DF1636" s="4"/>
      <c r="DG1636" s="4"/>
      <c r="DH1636" s="4"/>
      <c r="DI1636" s="4"/>
      <c r="DJ1636" s="4"/>
      <c r="DK1636" s="4"/>
      <c r="DL1636" s="4"/>
      <c r="DM1636" s="4"/>
      <c r="DN1636" s="4"/>
      <c r="DO1636" s="4"/>
      <c r="DP1636" s="4"/>
      <c r="DQ1636" s="4"/>
      <c r="DR1636" s="4"/>
    </row>
    <row r="1637" spans="1:122" x14ac:dyDescent="0.25">
      <c r="A1637" s="2" t="s">
        <v>15</v>
      </c>
      <c r="B1637" s="2" t="str">
        <f>"FES1162769624"</f>
        <v>FES1162769624</v>
      </c>
      <c r="C1637" s="2" t="s">
        <v>1190</v>
      </c>
      <c r="D1637" s="2">
        <v>1</v>
      </c>
      <c r="E1637" s="2" t="str">
        <f>"2170756700"</f>
        <v>2170756700</v>
      </c>
      <c r="F1637" s="2" t="s">
        <v>17</v>
      </c>
      <c r="G1637" s="2" t="s">
        <v>18</v>
      </c>
      <c r="H1637" s="2" t="s">
        <v>18</v>
      </c>
      <c r="I1637" s="2" t="s">
        <v>46</v>
      </c>
      <c r="J1637" s="2" t="s">
        <v>1304</v>
      </c>
      <c r="K1637" s="2" t="s">
        <v>1266</v>
      </c>
      <c r="L1637" s="3">
        <v>0.29166666666666669</v>
      </c>
      <c r="M1637" s="2" t="s">
        <v>919</v>
      </c>
      <c r="N1637" s="2" t="s">
        <v>500</v>
      </c>
      <c r="O1637" s="2"/>
      <c r="P1637" s="4"/>
      <c r="Q1637" s="4"/>
      <c r="R1637" s="4"/>
      <c r="S1637" s="4"/>
      <c r="T1637" s="4"/>
      <c r="U1637" s="4"/>
      <c r="V1637" s="4"/>
      <c r="W1637" s="4"/>
      <c r="X1637" s="4"/>
      <c r="Y1637" s="4"/>
      <c r="Z1637" s="4"/>
      <c r="AA1637" s="4"/>
      <c r="AB1637" s="4"/>
      <c r="AC1637" s="4"/>
      <c r="AD1637" s="4"/>
      <c r="AE1637" s="4"/>
      <c r="AF1637" s="4"/>
      <c r="AG1637" s="4"/>
      <c r="AH1637" s="4"/>
      <c r="AI1637" s="4"/>
      <c r="AJ1637" s="4"/>
      <c r="AK1637" s="4"/>
      <c r="AL1637" s="4"/>
      <c r="AM1637" s="4"/>
      <c r="AN1637" s="4"/>
      <c r="AO1637" s="4"/>
      <c r="AP1637" s="4"/>
      <c r="AQ1637" s="4"/>
      <c r="AR1637" s="4"/>
      <c r="AS1637" s="4"/>
      <c r="AT1637" s="4"/>
      <c r="AU1637" s="4"/>
      <c r="AV1637" s="4"/>
      <c r="AW1637" s="4"/>
      <c r="AX1637" s="4"/>
      <c r="AY1637" s="4"/>
      <c r="AZ1637" s="4"/>
      <c r="BA1637" s="4"/>
      <c r="BB1637" s="4"/>
      <c r="BC1637" s="4"/>
      <c r="BD1637" s="4"/>
      <c r="BE1637" s="4"/>
      <c r="BF1637" s="4"/>
      <c r="BG1637" s="4"/>
      <c r="BH1637" s="4"/>
      <c r="BI1637" s="4"/>
      <c r="BJ1637" s="4"/>
      <c r="BK1637" s="4"/>
      <c r="BL1637" s="4"/>
      <c r="BM1637" s="4"/>
      <c r="BN1637" s="4"/>
      <c r="BO1637" s="4"/>
      <c r="BP1637" s="4"/>
      <c r="BQ1637" s="4"/>
      <c r="BR1637" s="4"/>
      <c r="BS1637" s="4"/>
      <c r="BT1637" s="4"/>
      <c r="BU1637" s="4"/>
      <c r="BV1637" s="4"/>
      <c r="BW1637" s="4"/>
      <c r="BX1637" s="4"/>
      <c r="BY1637" s="4"/>
      <c r="BZ1637" s="4"/>
      <c r="CA1637" s="4"/>
      <c r="CB1637" s="4"/>
      <c r="CC1637" s="4"/>
      <c r="CD1637" s="4"/>
      <c r="CE1637" s="4"/>
      <c r="CF1637" s="4"/>
      <c r="CG1637" s="4"/>
      <c r="CH1637" s="4"/>
      <c r="CI1637" s="4"/>
      <c r="CJ1637" s="4"/>
      <c r="CK1637" s="4"/>
      <c r="CL1637" s="4"/>
      <c r="CM1637" s="4"/>
      <c r="CN1637" s="4"/>
      <c r="CO1637" s="4"/>
      <c r="CP1637" s="4"/>
      <c r="CQ1637" s="4"/>
      <c r="CR1637" s="4"/>
      <c r="CS1637" s="4"/>
      <c r="CT1637" s="4"/>
      <c r="CU1637" s="4"/>
      <c r="CV1637" s="4"/>
      <c r="CW1637" s="4"/>
      <c r="CX1637" s="4"/>
      <c r="CY1637" s="4"/>
      <c r="CZ1637" s="4"/>
      <c r="DA1637" s="4"/>
      <c r="DB1637" s="4"/>
      <c r="DC1637" s="4"/>
      <c r="DD1637" s="4"/>
      <c r="DE1637" s="4"/>
      <c r="DF1637" s="4"/>
      <c r="DG1637" s="4"/>
      <c r="DH1637" s="4"/>
      <c r="DI1637" s="4"/>
      <c r="DJ1637" s="4"/>
      <c r="DK1637" s="4"/>
      <c r="DL1637" s="4"/>
      <c r="DM1637" s="4"/>
      <c r="DN1637" s="4"/>
      <c r="DO1637" s="4"/>
      <c r="DP1637" s="4"/>
      <c r="DQ1637" s="4"/>
      <c r="DR1637" s="4"/>
    </row>
    <row r="1638" spans="1:122" x14ac:dyDescent="0.25">
      <c r="A1638" s="2" t="s">
        <v>15</v>
      </c>
      <c r="B1638" s="2" t="str">
        <f>"FES1162769559"</f>
        <v>FES1162769559</v>
      </c>
      <c r="C1638" s="2" t="s">
        <v>1190</v>
      </c>
      <c r="D1638" s="2">
        <v>1</v>
      </c>
      <c r="E1638" s="2" t="str">
        <f>"2170756578"</f>
        <v>2170756578</v>
      </c>
      <c r="F1638" s="2" t="s">
        <v>17</v>
      </c>
      <c r="G1638" s="2" t="s">
        <v>18</v>
      </c>
      <c r="H1638" s="2" t="s">
        <v>18</v>
      </c>
      <c r="I1638" s="2" t="s">
        <v>46</v>
      </c>
      <c r="J1638" s="2" t="s">
        <v>285</v>
      </c>
      <c r="K1638" s="2" t="s">
        <v>1266</v>
      </c>
      <c r="L1638" s="3">
        <v>0.30208333333333331</v>
      </c>
      <c r="M1638" s="2" t="s">
        <v>777</v>
      </c>
      <c r="N1638" s="2" t="s">
        <v>500</v>
      </c>
      <c r="O1638" s="2"/>
      <c r="P1638" s="4"/>
      <c r="Q1638" s="4"/>
      <c r="R1638" s="4"/>
      <c r="S1638" s="4"/>
      <c r="T1638" s="4"/>
      <c r="U1638" s="4"/>
      <c r="V1638" s="4"/>
      <c r="W1638" s="4"/>
      <c r="X1638" s="4"/>
      <c r="Y1638" s="4"/>
      <c r="Z1638" s="4"/>
      <c r="AA1638" s="4"/>
      <c r="AB1638" s="4"/>
      <c r="AC1638" s="4"/>
      <c r="AD1638" s="4"/>
      <c r="AE1638" s="4"/>
      <c r="AF1638" s="4"/>
      <c r="AG1638" s="4"/>
      <c r="AH1638" s="4"/>
      <c r="AI1638" s="4"/>
      <c r="AJ1638" s="4"/>
      <c r="AK1638" s="4"/>
      <c r="AL1638" s="4"/>
      <c r="AM1638" s="4"/>
      <c r="AN1638" s="4"/>
      <c r="AO1638" s="4"/>
      <c r="AP1638" s="4"/>
      <c r="AQ1638" s="4"/>
      <c r="AR1638" s="4"/>
      <c r="AS1638" s="4"/>
      <c r="AT1638" s="4"/>
      <c r="AU1638" s="4"/>
      <c r="AV1638" s="4"/>
      <c r="AW1638" s="4"/>
      <c r="AX1638" s="4"/>
      <c r="AY1638" s="4"/>
      <c r="AZ1638" s="4"/>
      <c r="BA1638" s="4"/>
      <c r="BB1638" s="4"/>
      <c r="BC1638" s="4"/>
      <c r="BD1638" s="4"/>
      <c r="BE1638" s="4"/>
      <c r="BF1638" s="4"/>
      <c r="BG1638" s="4"/>
      <c r="BH1638" s="4"/>
      <c r="BI1638" s="4"/>
      <c r="BJ1638" s="4"/>
      <c r="BK1638" s="4"/>
      <c r="BL1638" s="4"/>
      <c r="BM1638" s="4"/>
      <c r="BN1638" s="4"/>
      <c r="BO1638" s="4"/>
      <c r="BP1638" s="4"/>
      <c r="BQ1638" s="4"/>
      <c r="BR1638" s="4"/>
      <c r="BS1638" s="4"/>
      <c r="BT1638" s="4"/>
      <c r="BU1638" s="4"/>
      <c r="BV1638" s="4"/>
      <c r="BW1638" s="4"/>
      <c r="BX1638" s="4"/>
      <c r="BY1638" s="4"/>
      <c r="BZ1638" s="4"/>
      <c r="CA1638" s="4"/>
      <c r="CB1638" s="4"/>
      <c r="CC1638" s="4"/>
      <c r="CD1638" s="4"/>
      <c r="CE1638" s="4"/>
      <c r="CF1638" s="4"/>
      <c r="CG1638" s="4"/>
      <c r="CH1638" s="4"/>
      <c r="CI1638" s="4"/>
      <c r="CJ1638" s="4"/>
      <c r="CK1638" s="4"/>
      <c r="CL1638" s="4"/>
      <c r="CM1638" s="4"/>
      <c r="CN1638" s="4"/>
      <c r="CO1638" s="4"/>
      <c r="CP1638" s="4"/>
      <c r="CQ1638" s="4"/>
      <c r="CR1638" s="4"/>
      <c r="CS1638" s="4"/>
      <c r="CT1638" s="4"/>
      <c r="CU1638" s="4"/>
      <c r="CV1638" s="4"/>
      <c r="CW1638" s="4"/>
      <c r="CX1638" s="4"/>
      <c r="CY1638" s="4"/>
      <c r="CZ1638" s="4"/>
      <c r="DA1638" s="4"/>
      <c r="DB1638" s="4"/>
      <c r="DC1638" s="4"/>
      <c r="DD1638" s="4"/>
      <c r="DE1638" s="4"/>
      <c r="DF1638" s="4"/>
      <c r="DG1638" s="4"/>
      <c r="DH1638" s="4"/>
      <c r="DI1638" s="4"/>
      <c r="DJ1638" s="4"/>
      <c r="DK1638" s="4"/>
      <c r="DL1638" s="4"/>
      <c r="DM1638" s="4"/>
      <c r="DN1638" s="4"/>
      <c r="DO1638" s="4"/>
      <c r="DP1638" s="4"/>
      <c r="DQ1638" s="4"/>
      <c r="DR1638" s="4"/>
    </row>
    <row r="1639" spans="1:122" x14ac:dyDescent="0.25">
      <c r="A1639" s="2" t="s">
        <v>15</v>
      </c>
      <c r="B1639" s="2" t="str">
        <f>"FES1162769662"</f>
        <v>FES1162769662</v>
      </c>
      <c r="C1639" s="2" t="s">
        <v>1190</v>
      </c>
      <c r="D1639" s="2">
        <v>1</v>
      </c>
      <c r="E1639" s="2" t="str">
        <f>"2170756760"</f>
        <v>2170756760</v>
      </c>
      <c r="F1639" s="2" t="s">
        <v>17</v>
      </c>
      <c r="G1639" s="2" t="s">
        <v>18</v>
      </c>
      <c r="H1639" s="2" t="s">
        <v>18</v>
      </c>
      <c r="I1639" s="2" t="s">
        <v>46</v>
      </c>
      <c r="J1639" s="2" t="s">
        <v>59</v>
      </c>
      <c r="K1639" s="2" t="s">
        <v>1266</v>
      </c>
      <c r="L1639" s="3">
        <v>0.33333333333333331</v>
      </c>
      <c r="M1639" s="2" t="s">
        <v>60</v>
      </c>
      <c r="N1639" s="2" t="s">
        <v>500</v>
      </c>
      <c r="O1639" s="2"/>
      <c r="P1639" s="4"/>
      <c r="Q1639" s="4"/>
      <c r="R1639" s="4"/>
      <c r="S1639" s="4"/>
      <c r="T1639" s="4"/>
      <c r="U1639" s="4"/>
      <c r="V1639" s="4"/>
      <c r="W1639" s="4"/>
      <c r="X1639" s="4"/>
      <c r="Y1639" s="4"/>
      <c r="Z1639" s="4"/>
      <c r="AA1639" s="4"/>
      <c r="AB1639" s="4"/>
      <c r="AC1639" s="4"/>
      <c r="AD1639" s="4"/>
      <c r="AE1639" s="4"/>
      <c r="AF1639" s="4"/>
      <c r="AG1639" s="4"/>
      <c r="AH1639" s="4"/>
      <c r="AI1639" s="4"/>
      <c r="AJ1639" s="4"/>
      <c r="AK1639" s="4"/>
      <c r="AL1639" s="4"/>
      <c r="AM1639" s="4"/>
      <c r="AN1639" s="4"/>
      <c r="AO1639" s="4"/>
      <c r="AP1639" s="4"/>
      <c r="AQ1639" s="4"/>
      <c r="AR1639" s="4"/>
      <c r="AS1639" s="4"/>
      <c r="AT1639" s="4"/>
      <c r="AU1639" s="4"/>
      <c r="AV1639" s="4"/>
      <c r="AW1639" s="4"/>
      <c r="AX1639" s="4"/>
      <c r="AY1639" s="4"/>
      <c r="AZ1639" s="4"/>
      <c r="BA1639" s="4"/>
      <c r="BB1639" s="4"/>
      <c r="BC1639" s="4"/>
      <c r="BD1639" s="4"/>
      <c r="BE1639" s="4"/>
      <c r="BF1639" s="4"/>
      <c r="BG1639" s="4"/>
      <c r="BH1639" s="4"/>
      <c r="BI1639" s="4"/>
      <c r="BJ1639" s="4"/>
      <c r="BK1639" s="4"/>
      <c r="BL1639" s="4"/>
      <c r="BM1639" s="4"/>
      <c r="BN1639" s="4"/>
      <c r="BO1639" s="4"/>
      <c r="BP1639" s="4"/>
      <c r="BQ1639" s="4"/>
      <c r="BR1639" s="4"/>
      <c r="BS1639" s="4"/>
      <c r="BT1639" s="4"/>
      <c r="BU1639" s="4"/>
      <c r="BV1639" s="4"/>
      <c r="BW1639" s="4"/>
      <c r="BX1639" s="4"/>
      <c r="BY1639" s="4"/>
      <c r="BZ1639" s="4"/>
      <c r="CA1639" s="4"/>
      <c r="CB1639" s="4"/>
      <c r="CC1639" s="4"/>
      <c r="CD1639" s="4"/>
      <c r="CE1639" s="4"/>
      <c r="CF1639" s="4"/>
      <c r="CG1639" s="4"/>
      <c r="CH1639" s="4"/>
      <c r="CI1639" s="4"/>
      <c r="CJ1639" s="4"/>
      <c r="CK1639" s="4"/>
      <c r="CL1639" s="4"/>
      <c r="CM1639" s="4"/>
      <c r="CN1639" s="4"/>
      <c r="CO1639" s="4"/>
      <c r="CP1639" s="4"/>
      <c r="CQ1639" s="4"/>
      <c r="CR1639" s="4"/>
      <c r="CS1639" s="4"/>
      <c r="CT1639" s="4"/>
      <c r="CU1639" s="4"/>
      <c r="CV1639" s="4"/>
      <c r="CW1639" s="4"/>
      <c r="CX1639" s="4"/>
      <c r="CY1639" s="4"/>
      <c r="CZ1639" s="4"/>
      <c r="DA1639" s="4"/>
      <c r="DB1639" s="4"/>
      <c r="DC1639" s="4"/>
      <c r="DD1639" s="4"/>
      <c r="DE1639" s="4"/>
      <c r="DF1639" s="4"/>
      <c r="DG1639" s="4"/>
      <c r="DH1639" s="4"/>
      <c r="DI1639" s="4"/>
      <c r="DJ1639" s="4"/>
      <c r="DK1639" s="4"/>
      <c r="DL1639" s="4"/>
      <c r="DM1639" s="4"/>
      <c r="DN1639" s="4"/>
      <c r="DO1639" s="4"/>
      <c r="DP1639" s="4"/>
      <c r="DQ1639" s="4"/>
      <c r="DR1639" s="4"/>
    </row>
    <row r="1640" spans="1:122" x14ac:dyDescent="0.25">
      <c r="A1640" s="2" t="s">
        <v>15</v>
      </c>
      <c r="B1640" s="2" t="str">
        <f>"FES1162769913"</f>
        <v>FES1162769913</v>
      </c>
      <c r="C1640" s="2" t="s">
        <v>1190</v>
      </c>
      <c r="D1640" s="2">
        <v>1</v>
      </c>
      <c r="E1640" s="2" t="str">
        <f>"2170757229"</f>
        <v>2170757229</v>
      </c>
      <c r="F1640" s="2" t="s">
        <v>17</v>
      </c>
      <c r="G1640" s="2" t="s">
        <v>18</v>
      </c>
      <c r="H1640" s="2" t="s">
        <v>25</v>
      </c>
      <c r="I1640" s="2" t="s">
        <v>42</v>
      </c>
      <c r="J1640" s="2" t="s">
        <v>416</v>
      </c>
      <c r="K1640" s="2" t="s">
        <v>1266</v>
      </c>
      <c r="L1640" s="3">
        <v>0.47847222222222219</v>
      </c>
      <c r="M1640" s="2" t="s">
        <v>688</v>
      </c>
      <c r="N1640" s="2" t="s">
        <v>500</v>
      </c>
      <c r="O1640" s="2"/>
      <c r="P1640" s="4"/>
      <c r="Q1640" s="4"/>
      <c r="R1640" s="4"/>
      <c r="S1640" s="4"/>
      <c r="T1640" s="4"/>
      <c r="U1640" s="4"/>
      <c r="V1640" s="4"/>
      <c r="W1640" s="4"/>
      <c r="X1640" s="4"/>
      <c r="Y1640" s="4"/>
      <c r="Z1640" s="4"/>
      <c r="AA1640" s="4"/>
      <c r="AB1640" s="4"/>
      <c r="AC1640" s="4"/>
      <c r="AD1640" s="4"/>
      <c r="AE1640" s="4"/>
      <c r="AF1640" s="4"/>
      <c r="AG1640" s="4"/>
      <c r="AH1640" s="4"/>
      <c r="AI1640" s="4"/>
      <c r="AJ1640" s="4"/>
      <c r="AK1640" s="4"/>
      <c r="AL1640" s="4"/>
      <c r="AM1640" s="4"/>
      <c r="AN1640" s="4"/>
      <c r="AO1640" s="4"/>
      <c r="AP1640" s="4"/>
      <c r="AQ1640" s="4"/>
      <c r="AR1640" s="4"/>
      <c r="AS1640" s="4"/>
      <c r="AT1640" s="4"/>
      <c r="AU1640" s="4"/>
      <c r="AV1640" s="4"/>
      <c r="AW1640" s="4"/>
      <c r="AX1640" s="4"/>
      <c r="AY1640" s="4"/>
      <c r="AZ1640" s="4"/>
      <c r="BA1640" s="4"/>
      <c r="BB1640" s="4"/>
      <c r="BC1640" s="4"/>
      <c r="BD1640" s="4"/>
      <c r="BE1640" s="4"/>
      <c r="BF1640" s="4"/>
      <c r="BG1640" s="4"/>
      <c r="BH1640" s="4"/>
      <c r="BI1640" s="4"/>
      <c r="BJ1640" s="4"/>
      <c r="BK1640" s="4"/>
      <c r="BL1640" s="4"/>
      <c r="BM1640" s="4"/>
      <c r="BN1640" s="4"/>
      <c r="BO1640" s="4"/>
      <c r="BP1640" s="4"/>
      <c r="BQ1640" s="4"/>
      <c r="BR1640" s="4"/>
      <c r="BS1640" s="4"/>
      <c r="BT1640" s="4"/>
      <c r="BU1640" s="4"/>
      <c r="BV1640" s="4"/>
      <c r="BW1640" s="4"/>
      <c r="BX1640" s="4"/>
      <c r="BY1640" s="4"/>
      <c r="BZ1640" s="4"/>
      <c r="CA1640" s="4"/>
      <c r="CB1640" s="4"/>
      <c r="CC1640" s="4"/>
      <c r="CD1640" s="4"/>
      <c r="CE1640" s="4"/>
      <c r="CF1640" s="4"/>
      <c r="CG1640" s="4"/>
      <c r="CH1640" s="4"/>
      <c r="CI1640" s="4"/>
      <c r="CJ1640" s="4"/>
      <c r="CK1640" s="4"/>
      <c r="CL1640" s="4"/>
      <c r="CM1640" s="4"/>
      <c r="CN1640" s="4"/>
      <c r="CO1640" s="4"/>
      <c r="CP1640" s="4"/>
      <c r="CQ1640" s="4"/>
      <c r="CR1640" s="4"/>
      <c r="CS1640" s="4"/>
      <c r="CT1640" s="4"/>
      <c r="CU1640" s="4"/>
      <c r="CV1640" s="4"/>
      <c r="CW1640" s="4"/>
      <c r="CX1640" s="4"/>
      <c r="CY1640" s="4"/>
      <c r="CZ1640" s="4"/>
      <c r="DA1640" s="4"/>
      <c r="DB1640" s="4"/>
      <c r="DC1640" s="4"/>
      <c r="DD1640" s="4"/>
      <c r="DE1640" s="4"/>
      <c r="DF1640" s="4"/>
      <c r="DG1640" s="4"/>
      <c r="DH1640" s="4"/>
      <c r="DI1640" s="4"/>
      <c r="DJ1640" s="4"/>
      <c r="DK1640" s="4"/>
      <c r="DL1640" s="4"/>
      <c r="DM1640" s="4"/>
      <c r="DN1640" s="4"/>
      <c r="DO1640" s="4"/>
      <c r="DP1640" s="4"/>
      <c r="DQ1640" s="4"/>
      <c r="DR1640" s="4"/>
    </row>
    <row r="1641" spans="1:122" x14ac:dyDescent="0.25">
      <c r="A1641" s="2" t="s">
        <v>15</v>
      </c>
      <c r="B1641" s="2" t="str">
        <f>"FES1162769685"</f>
        <v>FES1162769685</v>
      </c>
      <c r="C1641" s="2" t="s">
        <v>1190</v>
      </c>
      <c r="D1641" s="2">
        <v>1</v>
      </c>
      <c r="E1641" s="2" t="str">
        <f>"2170756795"</f>
        <v>2170756795</v>
      </c>
      <c r="F1641" s="2" t="s">
        <v>17</v>
      </c>
      <c r="G1641" s="2" t="s">
        <v>18</v>
      </c>
      <c r="H1641" s="2" t="s">
        <v>25</v>
      </c>
      <c r="I1641" s="2" t="s">
        <v>26</v>
      </c>
      <c r="J1641" s="2" t="s">
        <v>353</v>
      </c>
      <c r="K1641" s="2" t="s">
        <v>1266</v>
      </c>
      <c r="L1641" s="3">
        <v>0.41666666666666669</v>
      </c>
      <c r="M1641" s="2" t="s">
        <v>1360</v>
      </c>
      <c r="N1641" s="2" t="s">
        <v>500</v>
      </c>
      <c r="O1641" s="2"/>
      <c r="P1641" s="4"/>
      <c r="Q1641" s="4"/>
      <c r="R1641" s="4"/>
      <c r="S1641" s="4"/>
      <c r="T1641" s="4"/>
      <c r="U1641" s="4"/>
      <c r="V1641" s="4"/>
      <c r="W1641" s="4"/>
      <c r="X1641" s="4"/>
      <c r="Y1641" s="4"/>
      <c r="Z1641" s="4"/>
      <c r="AA1641" s="4"/>
      <c r="AB1641" s="4"/>
      <c r="AC1641" s="4"/>
      <c r="AD1641" s="4"/>
      <c r="AE1641" s="4"/>
      <c r="AF1641" s="4"/>
      <c r="AG1641" s="4"/>
      <c r="AH1641" s="4"/>
      <c r="AI1641" s="4"/>
      <c r="AJ1641" s="4"/>
      <c r="AK1641" s="4"/>
      <c r="AL1641" s="4"/>
      <c r="AM1641" s="4"/>
      <c r="AN1641" s="4"/>
      <c r="AO1641" s="4"/>
      <c r="AP1641" s="4"/>
      <c r="AQ1641" s="4"/>
      <c r="AR1641" s="4"/>
      <c r="AS1641" s="4"/>
      <c r="AT1641" s="4"/>
      <c r="AU1641" s="4"/>
      <c r="AV1641" s="4"/>
      <c r="AW1641" s="4"/>
      <c r="AX1641" s="4"/>
      <c r="AY1641" s="4"/>
      <c r="AZ1641" s="4"/>
      <c r="BA1641" s="4"/>
      <c r="BB1641" s="4"/>
      <c r="BC1641" s="4"/>
      <c r="BD1641" s="4"/>
      <c r="BE1641" s="4"/>
      <c r="BF1641" s="4"/>
      <c r="BG1641" s="4"/>
      <c r="BH1641" s="4"/>
      <c r="BI1641" s="4"/>
      <c r="BJ1641" s="4"/>
      <c r="BK1641" s="4"/>
      <c r="BL1641" s="4"/>
      <c r="BM1641" s="4"/>
      <c r="BN1641" s="4"/>
      <c r="BO1641" s="4"/>
      <c r="BP1641" s="4"/>
      <c r="BQ1641" s="4"/>
      <c r="BR1641" s="4"/>
      <c r="BS1641" s="4"/>
      <c r="BT1641" s="4"/>
      <c r="BU1641" s="4"/>
      <c r="BV1641" s="4"/>
      <c r="BW1641" s="4"/>
      <c r="BX1641" s="4"/>
      <c r="BY1641" s="4"/>
      <c r="BZ1641" s="4"/>
      <c r="CA1641" s="4"/>
      <c r="CB1641" s="4"/>
      <c r="CC1641" s="4"/>
      <c r="CD1641" s="4"/>
      <c r="CE1641" s="4"/>
      <c r="CF1641" s="4"/>
      <c r="CG1641" s="4"/>
      <c r="CH1641" s="4"/>
      <c r="CI1641" s="4"/>
      <c r="CJ1641" s="4"/>
      <c r="CK1641" s="4"/>
      <c r="CL1641" s="4"/>
      <c r="CM1641" s="4"/>
      <c r="CN1641" s="4"/>
      <c r="CO1641" s="4"/>
      <c r="CP1641" s="4"/>
      <c r="CQ1641" s="4"/>
      <c r="CR1641" s="4"/>
      <c r="CS1641" s="4"/>
      <c r="CT1641" s="4"/>
      <c r="CU1641" s="4"/>
      <c r="CV1641" s="4"/>
      <c r="CW1641" s="4"/>
      <c r="CX1641" s="4"/>
      <c r="CY1641" s="4"/>
      <c r="CZ1641" s="4"/>
      <c r="DA1641" s="4"/>
      <c r="DB1641" s="4"/>
      <c r="DC1641" s="4"/>
      <c r="DD1641" s="4"/>
      <c r="DE1641" s="4"/>
      <c r="DF1641" s="4"/>
      <c r="DG1641" s="4"/>
      <c r="DH1641" s="4"/>
      <c r="DI1641" s="4"/>
      <c r="DJ1641" s="4"/>
      <c r="DK1641" s="4"/>
      <c r="DL1641" s="4"/>
      <c r="DM1641" s="4"/>
      <c r="DN1641" s="4"/>
      <c r="DO1641" s="4"/>
      <c r="DP1641" s="4"/>
      <c r="DQ1641" s="4"/>
      <c r="DR1641" s="4"/>
    </row>
    <row r="1642" spans="1:122" x14ac:dyDescent="0.25">
      <c r="A1642" s="2" t="s">
        <v>15</v>
      </c>
      <c r="B1642" s="2" t="str">
        <f>"FES1162769801"</f>
        <v>FES1162769801</v>
      </c>
      <c r="C1642" s="2" t="s">
        <v>1190</v>
      </c>
      <c r="D1642" s="2">
        <v>1</v>
      </c>
      <c r="E1642" s="2" t="str">
        <f>"2170757050"</f>
        <v>2170757050</v>
      </c>
      <c r="F1642" s="2" t="s">
        <v>17</v>
      </c>
      <c r="G1642" s="2" t="s">
        <v>18</v>
      </c>
      <c r="H1642" s="2" t="s">
        <v>19</v>
      </c>
      <c r="I1642" s="2" t="s">
        <v>111</v>
      </c>
      <c r="J1642" s="2" t="s">
        <v>143</v>
      </c>
      <c r="K1642" s="2" t="s">
        <v>1266</v>
      </c>
      <c r="L1642" s="3">
        <v>0.31736111111111115</v>
      </c>
      <c r="M1642" s="2" t="s">
        <v>144</v>
      </c>
      <c r="N1642" s="2" t="s">
        <v>500</v>
      </c>
      <c r="O1642" s="2"/>
      <c r="P1642" s="4"/>
      <c r="Q1642" s="4"/>
      <c r="R1642" s="4"/>
      <c r="S1642" s="4"/>
      <c r="T1642" s="4"/>
      <c r="U1642" s="4"/>
      <c r="V1642" s="4"/>
      <c r="W1642" s="4"/>
      <c r="X1642" s="4"/>
      <c r="Y1642" s="4"/>
      <c r="Z1642" s="4"/>
      <c r="AA1642" s="4"/>
      <c r="AB1642" s="4"/>
      <c r="AC1642" s="4"/>
      <c r="AD1642" s="4"/>
      <c r="AE1642" s="4"/>
      <c r="AF1642" s="4"/>
      <c r="AG1642" s="4"/>
      <c r="AH1642" s="4"/>
      <c r="AI1642" s="4"/>
      <c r="AJ1642" s="4"/>
      <c r="AK1642" s="4"/>
      <c r="AL1642" s="4"/>
      <c r="AM1642" s="4"/>
      <c r="AN1642" s="4"/>
      <c r="AO1642" s="4"/>
      <c r="AP1642" s="4"/>
      <c r="AQ1642" s="4"/>
      <c r="AR1642" s="4"/>
      <c r="AS1642" s="4"/>
      <c r="AT1642" s="4"/>
      <c r="AU1642" s="4"/>
      <c r="AV1642" s="4"/>
      <c r="AW1642" s="4"/>
      <c r="AX1642" s="4"/>
      <c r="AY1642" s="4"/>
      <c r="AZ1642" s="4"/>
      <c r="BA1642" s="4"/>
      <c r="BB1642" s="4"/>
      <c r="BC1642" s="4"/>
      <c r="BD1642" s="4"/>
      <c r="BE1642" s="4"/>
      <c r="BF1642" s="4"/>
      <c r="BG1642" s="4"/>
      <c r="BH1642" s="4"/>
      <c r="BI1642" s="4"/>
      <c r="BJ1642" s="4"/>
      <c r="BK1642" s="4"/>
      <c r="BL1642" s="4"/>
      <c r="BM1642" s="4"/>
      <c r="BN1642" s="4"/>
      <c r="BO1642" s="4"/>
      <c r="BP1642" s="4"/>
      <c r="BQ1642" s="4"/>
      <c r="BR1642" s="4"/>
      <c r="BS1642" s="4"/>
      <c r="BT1642" s="4"/>
      <c r="BU1642" s="4"/>
      <c r="BV1642" s="4"/>
      <c r="BW1642" s="4"/>
      <c r="BX1642" s="4"/>
      <c r="BY1642" s="4"/>
      <c r="BZ1642" s="4"/>
      <c r="CA1642" s="4"/>
      <c r="CB1642" s="4"/>
      <c r="CC1642" s="4"/>
      <c r="CD1642" s="4"/>
      <c r="CE1642" s="4"/>
      <c r="CF1642" s="4"/>
      <c r="CG1642" s="4"/>
      <c r="CH1642" s="4"/>
      <c r="CI1642" s="4"/>
      <c r="CJ1642" s="4"/>
      <c r="CK1642" s="4"/>
      <c r="CL1642" s="4"/>
      <c r="CM1642" s="4"/>
      <c r="CN1642" s="4"/>
      <c r="CO1642" s="4"/>
      <c r="CP1642" s="4"/>
      <c r="CQ1642" s="4"/>
      <c r="CR1642" s="4"/>
      <c r="CS1642" s="4"/>
      <c r="CT1642" s="4"/>
      <c r="CU1642" s="4"/>
      <c r="CV1642" s="4"/>
      <c r="CW1642" s="4"/>
      <c r="CX1642" s="4"/>
      <c r="CY1642" s="4"/>
      <c r="CZ1642" s="4"/>
      <c r="DA1642" s="4"/>
      <c r="DB1642" s="4"/>
      <c r="DC1642" s="4"/>
      <c r="DD1642" s="4"/>
      <c r="DE1642" s="4"/>
      <c r="DF1642" s="4"/>
      <c r="DG1642" s="4"/>
      <c r="DH1642" s="4"/>
      <c r="DI1642" s="4"/>
      <c r="DJ1642" s="4"/>
      <c r="DK1642" s="4"/>
      <c r="DL1642" s="4"/>
      <c r="DM1642" s="4"/>
      <c r="DN1642" s="4"/>
      <c r="DO1642" s="4"/>
      <c r="DP1642" s="4"/>
      <c r="DQ1642" s="4"/>
      <c r="DR1642" s="4"/>
    </row>
    <row r="1643" spans="1:122" x14ac:dyDescent="0.25">
      <c r="A1643" s="2" t="s">
        <v>15</v>
      </c>
      <c r="B1643" s="2" t="str">
        <f>"FES1162769943"</f>
        <v>FES1162769943</v>
      </c>
      <c r="C1643" s="2" t="s">
        <v>1190</v>
      </c>
      <c r="D1643" s="2">
        <v>1</v>
      </c>
      <c r="E1643" s="2" t="str">
        <f>"2170755401"</f>
        <v>2170755401</v>
      </c>
      <c r="F1643" s="2" t="s">
        <v>17</v>
      </c>
      <c r="G1643" s="2" t="s">
        <v>18</v>
      </c>
      <c r="H1643" s="2" t="s">
        <v>18</v>
      </c>
      <c r="I1643" s="2" t="s">
        <v>57</v>
      </c>
      <c r="J1643" s="2" t="s">
        <v>99</v>
      </c>
      <c r="K1643" s="2" t="s">
        <v>1266</v>
      </c>
      <c r="L1643" s="3">
        <v>0.4375</v>
      </c>
      <c r="M1643" s="2" t="s">
        <v>216</v>
      </c>
      <c r="N1643" s="2" t="s">
        <v>500</v>
      </c>
      <c r="O1643" s="2"/>
      <c r="P1643" s="4"/>
      <c r="Q1643" s="4"/>
      <c r="R1643" s="4"/>
      <c r="S1643" s="4"/>
      <c r="T1643" s="4"/>
      <c r="U1643" s="4"/>
      <c r="V1643" s="4"/>
      <c r="W1643" s="4"/>
      <c r="X1643" s="4"/>
      <c r="Y1643" s="4"/>
      <c r="Z1643" s="4"/>
      <c r="AA1643" s="4"/>
      <c r="AB1643" s="4"/>
      <c r="AC1643" s="4"/>
      <c r="AD1643" s="4"/>
      <c r="AE1643" s="4"/>
      <c r="AF1643" s="4"/>
      <c r="AG1643" s="4"/>
      <c r="AH1643" s="4"/>
      <c r="AI1643" s="4"/>
      <c r="AJ1643" s="4"/>
      <c r="AK1643" s="4"/>
      <c r="AL1643" s="4"/>
      <c r="AM1643" s="4"/>
      <c r="AN1643" s="4"/>
      <c r="AO1643" s="4"/>
      <c r="AP1643" s="4"/>
      <c r="AQ1643" s="4"/>
      <c r="AR1643" s="4"/>
      <c r="AS1643" s="4"/>
      <c r="AT1643" s="4"/>
      <c r="AU1643" s="4"/>
      <c r="AV1643" s="4"/>
      <c r="AW1643" s="4"/>
      <c r="AX1643" s="4"/>
      <c r="AY1643" s="4"/>
      <c r="AZ1643" s="4"/>
      <c r="BA1643" s="4"/>
      <c r="BB1643" s="4"/>
      <c r="BC1643" s="4"/>
      <c r="BD1643" s="4"/>
      <c r="BE1643" s="4"/>
      <c r="BF1643" s="4"/>
      <c r="BG1643" s="4"/>
      <c r="BH1643" s="4"/>
      <c r="BI1643" s="4"/>
      <c r="BJ1643" s="4"/>
      <c r="BK1643" s="4"/>
      <c r="BL1643" s="4"/>
      <c r="BM1643" s="4"/>
      <c r="BN1643" s="4"/>
      <c r="BO1643" s="4"/>
      <c r="BP1643" s="4"/>
      <c r="BQ1643" s="4"/>
      <c r="BR1643" s="4"/>
      <c r="BS1643" s="4"/>
      <c r="BT1643" s="4"/>
      <c r="BU1643" s="4"/>
      <c r="BV1643" s="4"/>
      <c r="BW1643" s="4"/>
      <c r="BX1643" s="4"/>
      <c r="BY1643" s="4"/>
      <c r="BZ1643" s="4"/>
      <c r="CA1643" s="4"/>
      <c r="CB1643" s="4"/>
      <c r="CC1643" s="4"/>
      <c r="CD1643" s="4"/>
      <c r="CE1643" s="4"/>
      <c r="CF1643" s="4"/>
      <c r="CG1643" s="4"/>
      <c r="CH1643" s="4"/>
      <c r="CI1643" s="4"/>
      <c r="CJ1643" s="4"/>
      <c r="CK1643" s="4"/>
      <c r="CL1643" s="4"/>
      <c r="CM1643" s="4"/>
      <c r="CN1643" s="4"/>
      <c r="CO1643" s="4"/>
      <c r="CP1643" s="4"/>
      <c r="CQ1643" s="4"/>
      <c r="CR1643" s="4"/>
      <c r="CS1643" s="4"/>
      <c r="CT1643" s="4"/>
      <c r="CU1643" s="4"/>
      <c r="CV1643" s="4"/>
      <c r="CW1643" s="4"/>
      <c r="CX1643" s="4"/>
      <c r="CY1643" s="4"/>
      <c r="CZ1643" s="4"/>
      <c r="DA1643" s="4"/>
      <c r="DB1643" s="4"/>
      <c r="DC1643" s="4"/>
      <c r="DD1643" s="4"/>
      <c r="DE1643" s="4"/>
      <c r="DF1643" s="4"/>
      <c r="DG1643" s="4"/>
      <c r="DH1643" s="4"/>
      <c r="DI1643" s="4"/>
      <c r="DJ1643" s="4"/>
      <c r="DK1643" s="4"/>
      <c r="DL1643" s="4"/>
      <c r="DM1643" s="4"/>
      <c r="DN1643" s="4"/>
      <c r="DO1643" s="4"/>
      <c r="DP1643" s="4"/>
      <c r="DQ1643" s="4"/>
      <c r="DR1643" s="4"/>
    </row>
    <row r="1644" spans="1:122" s="13" customFormat="1" x14ac:dyDescent="0.25">
      <c r="A1644" s="5" t="s">
        <v>15</v>
      </c>
      <c r="B1644" s="5" t="str">
        <f>"FES1162769870"</f>
        <v>FES1162769870</v>
      </c>
      <c r="C1644" s="5" t="s">
        <v>1190</v>
      </c>
      <c r="D1644" s="5">
        <v>1</v>
      </c>
      <c r="E1644" s="5" t="str">
        <f>"2170757147"</f>
        <v>2170757147</v>
      </c>
      <c r="F1644" s="5" t="s">
        <v>205</v>
      </c>
      <c r="G1644" s="5" t="s">
        <v>206</v>
      </c>
      <c r="H1644" s="5" t="s">
        <v>25</v>
      </c>
      <c r="I1644" s="5" t="s">
        <v>345</v>
      </c>
      <c r="J1644" s="5" t="s">
        <v>412</v>
      </c>
      <c r="K1644" s="5" t="s">
        <v>1506</v>
      </c>
      <c r="L1644" s="9">
        <v>0.41666666666666669</v>
      </c>
      <c r="M1644" s="5" t="s">
        <v>1818</v>
      </c>
      <c r="N1644" s="5" t="s">
        <v>500</v>
      </c>
      <c r="O1644" s="5"/>
      <c r="P1644" s="4"/>
      <c r="Q1644" s="4"/>
      <c r="R1644" s="4"/>
      <c r="S1644" s="4"/>
      <c r="T1644" s="4"/>
      <c r="U1644" s="4"/>
      <c r="V1644" s="4"/>
      <c r="W1644" s="4"/>
      <c r="X1644" s="4"/>
      <c r="Y1644" s="4"/>
      <c r="Z1644" s="4"/>
      <c r="AA1644" s="4"/>
      <c r="AB1644" s="4"/>
      <c r="AC1644" s="4"/>
      <c r="AD1644" s="4"/>
      <c r="AE1644" s="4"/>
      <c r="AF1644" s="4"/>
      <c r="AG1644" s="4"/>
      <c r="AH1644" s="4"/>
      <c r="AI1644" s="4"/>
      <c r="AJ1644" s="4"/>
      <c r="AK1644" s="4"/>
      <c r="AL1644" s="4"/>
      <c r="AM1644" s="4"/>
      <c r="AN1644" s="4"/>
      <c r="AO1644" s="4"/>
      <c r="AP1644" s="4"/>
      <c r="AQ1644" s="4"/>
      <c r="AR1644" s="4"/>
      <c r="AS1644" s="4"/>
      <c r="AT1644" s="4"/>
      <c r="AU1644" s="4"/>
      <c r="AV1644" s="4"/>
      <c r="AW1644" s="4"/>
      <c r="AX1644" s="4"/>
      <c r="AY1644" s="4"/>
      <c r="AZ1644" s="4"/>
      <c r="BA1644" s="4"/>
      <c r="BB1644" s="4"/>
      <c r="BC1644" s="4"/>
      <c r="BD1644" s="4"/>
      <c r="BE1644" s="4"/>
      <c r="BF1644" s="4"/>
      <c r="BG1644" s="4"/>
      <c r="BH1644" s="4"/>
      <c r="BI1644" s="4"/>
      <c r="BJ1644" s="4"/>
      <c r="BK1644" s="4"/>
      <c r="BL1644" s="4"/>
      <c r="BM1644" s="4"/>
      <c r="BN1644" s="4"/>
      <c r="BO1644" s="4"/>
      <c r="BP1644" s="4"/>
      <c r="BQ1644" s="4"/>
      <c r="BR1644" s="4"/>
      <c r="BS1644" s="4"/>
      <c r="BT1644" s="4"/>
      <c r="BU1644" s="4"/>
      <c r="BV1644" s="4"/>
      <c r="BW1644" s="4"/>
      <c r="BX1644" s="4"/>
      <c r="BY1644" s="4"/>
      <c r="BZ1644" s="4"/>
      <c r="CA1644" s="4"/>
      <c r="CB1644" s="4"/>
      <c r="CC1644" s="4"/>
      <c r="CD1644" s="4"/>
      <c r="CE1644" s="4"/>
      <c r="CF1644" s="4"/>
      <c r="CG1644" s="4"/>
      <c r="CH1644" s="4"/>
      <c r="CI1644" s="4"/>
      <c r="CJ1644" s="4"/>
      <c r="CK1644" s="4"/>
      <c r="CL1644" s="4"/>
      <c r="CM1644" s="4"/>
      <c r="CN1644" s="4"/>
      <c r="CO1644" s="4"/>
      <c r="CP1644" s="4"/>
      <c r="CQ1644" s="4"/>
      <c r="CR1644" s="4"/>
      <c r="CS1644" s="4"/>
      <c r="CT1644" s="4"/>
      <c r="CU1644" s="4"/>
      <c r="CV1644" s="4"/>
      <c r="CW1644" s="4"/>
      <c r="CX1644" s="4"/>
      <c r="CY1644" s="4"/>
      <c r="CZ1644" s="4"/>
      <c r="DA1644" s="4"/>
      <c r="DB1644" s="4"/>
      <c r="DC1644" s="4"/>
      <c r="DD1644" s="4"/>
      <c r="DE1644" s="4"/>
      <c r="DF1644" s="4"/>
      <c r="DG1644" s="4"/>
      <c r="DH1644" s="4"/>
      <c r="DI1644" s="4"/>
      <c r="DJ1644" s="4"/>
      <c r="DK1644" s="4"/>
      <c r="DL1644" s="4"/>
      <c r="DM1644" s="4"/>
      <c r="DN1644" s="4"/>
      <c r="DO1644" s="4"/>
      <c r="DP1644" s="4"/>
      <c r="DQ1644" s="4"/>
      <c r="DR1644" s="4"/>
    </row>
    <row r="1645" spans="1:122" x14ac:dyDescent="0.25">
      <c r="A1645" s="2" t="s">
        <v>15</v>
      </c>
      <c r="B1645" s="2" t="str">
        <f>"FES1162769447"</f>
        <v>FES1162769447</v>
      </c>
      <c r="C1645" s="2" t="s">
        <v>1190</v>
      </c>
      <c r="D1645" s="2">
        <v>1</v>
      </c>
      <c r="E1645" s="2" t="str">
        <f>"2170748982"</f>
        <v>2170748982</v>
      </c>
      <c r="F1645" s="2" t="s">
        <v>17</v>
      </c>
      <c r="G1645" s="2" t="s">
        <v>18</v>
      </c>
      <c r="H1645" s="2" t="s">
        <v>36</v>
      </c>
      <c r="I1645" s="2" t="s">
        <v>37</v>
      </c>
      <c r="J1645" s="2" t="s">
        <v>102</v>
      </c>
      <c r="K1645" s="2" t="s">
        <v>1266</v>
      </c>
      <c r="L1645" s="3">
        <v>0.36944444444444446</v>
      </c>
      <c r="M1645" s="2" t="s">
        <v>1361</v>
      </c>
      <c r="N1645" s="2" t="s">
        <v>500</v>
      </c>
      <c r="O1645" s="2"/>
      <c r="P1645" s="4"/>
      <c r="Q1645" s="4"/>
      <c r="R1645" s="4"/>
      <c r="S1645" s="4"/>
      <c r="T1645" s="4"/>
      <c r="U1645" s="4"/>
      <c r="V1645" s="4"/>
      <c r="W1645" s="4"/>
      <c r="X1645" s="4"/>
      <c r="Y1645" s="4"/>
      <c r="Z1645" s="4"/>
      <c r="AA1645" s="4"/>
      <c r="AB1645" s="4"/>
      <c r="AC1645" s="4"/>
      <c r="AD1645" s="4"/>
      <c r="AE1645" s="4"/>
      <c r="AF1645" s="4"/>
      <c r="AG1645" s="4"/>
      <c r="AH1645" s="4"/>
      <c r="AI1645" s="4"/>
      <c r="AJ1645" s="4"/>
      <c r="AK1645" s="4"/>
      <c r="AL1645" s="4"/>
      <c r="AM1645" s="4"/>
      <c r="AN1645" s="4"/>
      <c r="AO1645" s="4"/>
      <c r="AP1645" s="4"/>
      <c r="AQ1645" s="4"/>
      <c r="AR1645" s="4"/>
      <c r="AS1645" s="4"/>
      <c r="AT1645" s="4"/>
      <c r="AU1645" s="4"/>
      <c r="AV1645" s="4"/>
      <c r="AW1645" s="4"/>
      <c r="AX1645" s="4"/>
      <c r="AY1645" s="4"/>
      <c r="AZ1645" s="4"/>
      <c r="BA1645" s="4"/>
      <c r="BB1645" s="4"/>
      <c r="BC1645" s="4"/>
      <c r="BD1645" s="4"/>
      <c r="BE1645" s="4"/>
      <c r="BF1645" s="4"/>
      <c r="BG1645" s="4"/>
      <c r="BH1645" s="4"/>
      <c r="BI1645" s="4"/>
      <c r="BJ1645" s="4"/>
      <c r="BK1645" s="4"/>
      <c r="BL1645" s="4"/>
      <c r="BM1645" s="4"/>
      <c r="BN1645" s="4"/>
      <c r="BO1645" s="4"/>
      <c r="BP1645" s="4"/>
      <c r="BQ1645" s="4"/>
      <c r="BR1645" s="4"/>
      <c r="BS1645" s="4"/>
      <c r="BT1645" s="4"/>
      <c r="BU1645" s="4"/>
      <c r="BV1645" s="4"/>
      <c r="BW1645" s="4"/>
      <c r="BX1645" s="4"/>
      <c r="BY1645" s="4"/>
      <c r="BZ1645" s="4"/>
      <c r="CA1645" s="4"/>
      <c r="CB1645" s="4"/>
      <c r="CC1645" s="4"/>
      <c r="CD1645" s="4"/>
      <c r="CE1645" s="4"/>
      <c r="CF1645" s="4"/>
      <c r="CG1645" s="4"/>
      <c r="CH1645" s="4"/>
      <c r="CI1645" s="4"/>
      <c r="CJ1645" s="4"/>
      <c r="CK1645" s="4"/>
      <c r="CL1645" s="4"/>
      <c r="CM1645" s="4"/>
      <c r="CN1645" s="4"/>
      <c r="CO1645" s="4"/>
      <c r="CP1645" s="4"/>
      <c r="CQ1645" s="4"/>
      <c r="CR1645" s="4"/>
      <c r="CS1645" s="4"/>
      <c r="CT1645" s="4"/>
      <c r="CU1645" s="4"/>
      <c r="CV1645" s="4"/>
      <c r="CW1645" s="4"/>
      <c r="CX1645" s="4"/>
      <c r="CY1645" s="4"/>
      <c r="CZ1645" s="4"/>
      <c r="DA1645" s="4"/>
      <c r="DB1645" s="4"/>
      <c r="DC1645" s="4"/>
      <c r="DD1645" s="4"/>
      <c r="DE1645" s="4"/>
      <c r="DF1645" s="4"/>
      <c r="DG1645" s="4"/>
      <c r="DH1645" s="4"/>
      <c r="DI1645" s="4"/>
      <c r="DJ1645" s="4"/>
      <c r="DK1645" s="4"/>
      <c r="DL1645" s="4"/>
      <c r="DM1645" s="4"/>
      <c r="DN1645" s="4"/>
      <c r="DO1645" s="4"/>
      <c r="DP1645" s="4"/>
      <c r="DQ1645" s="4"/>
      <c r="DR1645" s="4"/>
    </row>
    <row r="1646" spans="1:122" x14ac:dyDescent="0.25">
      <c r="A1646" s="2" t="s">
        <v>15</v>
      </c>
      <c r="B1646" s="2" t="str">
        <f>"FES1162769658"</f>
        <v>FES1162769658</v>
      </c>
      <c r="C1646" s="2" t="s">
        <v>1190</v>
      </c>
      <c r="D1646" s="2">
        <v>1</v>
      </c>
      <c r="E1646" s="2" t="str">
        <f>"2170756751"</f>
        <v>2170756751</v>
      </c>
      <c r="F1646" s="2" t="s">
        <v>17</v>
      </c>
      <c r="G1646" s="2" t="s">
        <v>18</v>
      </c>
      <c r="H1646" s="2" t="s">
        <v>18</v>
      </c>
      <c r="I1646" s="2" t="s">
        <v>63</v>
      </c>
      <c r="J1646" s="2" t="s">
        <v>421</v>
      </c>
      <c r="K1646" s="2" t="s">
        <v>1266</v>
      </c>
      <c r="L1646" s="3">
        <v>0.34375</v>
      </c>
      <c r="M1646" s="2" t="s">
        <v>1362</v>
      </c>
      <c r="N1646" s="2" t="s">
        <v>500</v>
      </c>
      <c r="O1646" s="2"/>
      <c r="P1646" s="4"/>
      <c r="Q1646" s="4"/>
      <c r="R1646" s="4"/>
      <c r="S1646" s="4"/>
      <c r="T1646" s="4"/>
      <c r="U1646" s="4"/>
      <c r="V1646" s="4"/>
      <c r="W1646" s="4"/>
      <c r="X1646" s="4"/>
      <c r="Y1646" s="4"/>
      <c r="Z1646" s="4"/>
      <c r="AA1646" s="4"/>
      <c r="AB1646" s="4"/>
      <c r="AC1646" s="4"/>
      <c r="AD1646" s="4"/>
      <c r="AE1646" s="4"/>
      <c r="AF1646" s="4"/>
      <c r="AG1646" s="4"/>
      <c r="AH1646" s="4"/>
      <c r="AI1646" s="4"/>
      <c r="AJ1646" s="4"/>
      <c r="AK1646" s="4"/>
      <c r="AL1646" s="4"/>
      <c r="AM1646" s="4"/>
      <c r="AN1646" s="4"/>
      <c r="AO1646" s="4"/>
      <c r="AP1646" s="4"/>
      <c r="AQ1646" s="4"/>
      <c r="AR1646" s="4"/>
      <c r="AS1646" s="4"/>
      <c r="AT1646" s="4"/>
      <c r="AU1646" s="4"/>
      <c r="AV1646" s="4"/>
      <c r="AW1646" s="4"/>
      <c r="AX1646" s="4"/>
      <c r="AY1646" s="4"/>
      <c r="AZ1646" s="4"/>
      <c r="BA1646" s="4"/>
      <c r="BB1646" s="4"/>
      <c r="BC1646" s="4"/>
      <c r="BD1646" s="4"/>
      <c r="BE1646" s="4"/>
      <c r="BF1646" s="4"/>
      <c r="BG1646" s="4"/>
      <c r="BH1646" s="4"/>
      <c r="BI1646" s="4"/>
      <c r="BJ1646" s="4"/>
      <c r="BK1646" s="4"/>
      <c r="BL1646" s="4"/>
      <c r="BM1646" s="4"/>
      <c r="BN1646" s="4"/>
      <c r="BO1646" s="4"/>
      <c r="BP1646" s="4"/>
      <c r="BQ1646" s="4"/>
      <c r="BR1646" s="4"/>
      <c r="BS1646" s="4"/>
      <c r="BT1646" s="4"/>
      <c r="BU1646" s="4"/>
      <c r="BV1646" s="4"/>
      <c r="BW1646" s="4"/>
      <c r="BX1646" s="4"/>
      <c r="BY1646" s="4"/>
      <c r="BZ1646" s="4"/>
      <c r="CA1646" s="4"/>
      <c r="CB1646" s="4"/>
      <c r="CC1646" s="4"/>
      <c r="CD1646" s="4"/>
      <c r="CE1646" s="4"/>
      <c r="CF1646" s="4"/>
      <c r="CG1646" s="4"/>
      <c r="CH1646" s="4"/>
      <c r="CI1646" s="4"/>
      <c r="CJ1646" s="4"/>
      <c r="CK1646" s="4"/>
      <c r="CL1646" s="4"/>
      <c r="CM1646" s="4"/>
      <c r="CN1646" s="4"/>
      <c r="CO1646" s="4"/>
      <c r="CP1646" s="4"/>
      <c r="CQ1646" s="4"/>
      <c r="CR1646" s="4"/>
      <c r="CS1646" s="4"/>
      <c r="CT1646" s="4"/>
      <c r="CU1646" s="4"/>
      <c r="CV1646" s="4"/>
      <c r="CW1646" s="4"/>
      <c r="CX1646" s="4"/>
      <c r="CY1646" s="4"/>
      <c r="CZ1646" s="4"/>
      <c r="DA1646" s="4"/>
      <c r="DB1646" s="4"/>
      <c r="DC1646" s="4"/>
      <c r="DD1646" s="4"/>
      <c r="DE1646" s="4"/>
      <c r="DF1646" s="4"/>
      <c r="DG1646" s="4"/>
      <c r="DH1646" s="4"/>
      <c r="DI1646" s="4"/>
      <c r="DJ1646" s="4"/>
      <c r="DK1646" s="4"/>
      <c r="DL1646" s="4"/>
      <c r="DM1646" s="4"/>
      <c r="DN1646" s="4"/>
      <c r="DO1646" s="4"/>
      <c r="DP1646" s="4"/>
      <c r="DQ1646" s="4"/>
      <c r="DR1646" s="4"/>
    </row>
    <row r="1647" spans="1:122" x14ac:dyDescent="0.25">
      <c r="A1647" s="2" t="s">
        <v>15</v>
      </c>
      <c r="B1647" s="2" t="str">
        <f>"FES1162769838"</f>
        <v>FES1162769838</v>
      </c>
      <c r="C1647" s="2" t="s">
        <v>1190</v>
      </c>
      <c r="D1647" s="2">
        <v>1</v>
      </c>
      <c r="E1647" s="2" t="str">
        <f>"2170757108"</f>
        <v>2170757108</v>
      </c>
      <c r="F1647" s="2" t="s">
        <v>17</v>
      </c>
      <c r="G1647" s="2" t="s">
        <v>18</v>
      </c>
      <c r="H1647" s="2" t="s">
        <v>88</v>
      </c>
      <c r="I1647" s="2" t="s">
        <v>109</v>
      </c>
      <c r="J1647" s="2" t="s">
        <v>779</v>
      </c>
      <c r="K1647" s="2" t="s">
        <v>1266</v>
      </c>
      <c r="L1647" s="3">
        <v>0.40277777777777773</v>
      </c>
      <c r="M1647" s="2" t="s">
        <v>1363</v>
      </c>
      <c r="N1647" s="2" t="s">
        <v>500</v>
      </c>
      <c r="O1647" s="2"/>
      <c r="P1647" s="4"/>
      <c r="Q1647" s="4"/>
      <c r="R1647" s="4"/>
      <c r="S1647" s="4"/>
      <c r="T1647" s="4"/>
      <c r="U1647" s="4"/>
      <c r="V1647" s="4"/>
      <c r="W1647" s="4"/>
      <c r="X1647" s="4"/>
      <c r="Y1647" s="4"/>
      <c r="Z1647" s="4"/>
      <c r="AA1647" s="4"/>
      <c r="AB1647" s="4"/>
      <c r="AC1647" s="4"/>
      <c r="AD1647" s="4"/>
      <c r="AE1647" s="4"/>
      <c r="AF1647" s="4"/>
      <c r="AG1647" s="4"/>
      <c r="AH1647" s="4"/>
      <c r="AI1647" s="4"/>
      <c r="AJ1647" s="4"/>
      <c r="AK1647" s="4"/>
      <c r="AL1647" s="4"/>
      <c r="AM1647" s="4"/>
      <c r="AN1647" s="4"/>
      <c r="AO1647" s="4"/>
      <c r="AP1647" s="4"/>
      <c r="AQ1647" s="4"/>
      <c r="AR1647" s="4"/>
      <c r="AS1647" s="4"/>
      <c r="AT1647" s="4"/>
      <c r="AU1647" s="4"/>
      <c r="AV1647" s="4"/>
      <c r="AW1647" s="4"/>
      <c r="AX1647" s="4"/>
      <c r="AY1647" s="4"/>
      <c r="AZ1647" s="4"/>
      <c r="BA1647" s="4"/>
      <c r="BB1647" s="4"/>
      <c r="BC1647" s="4"/>
      <c r="BD1647" s="4"/>
      <c r="BE1647" s="4"/>
      <c r="BF1647" s="4"/>
      <c r="BG1647" s="4"/>
      <c r="BH1647" s="4"/>
      <c r="BI1647" s="4"/>
      <c r="BJ1647" s="4"/>
      <c r="BK1647" s="4"/>
      <c r="BL1647" s="4"/>
      <c r="BM1647" s="4"/>
      <c r="BN1647" s="4"/>
      <c r="BO1647" s="4"/>
      <c r="BP1647" s="4"/>
      <c r="BQ1647" s="4"/>
      <c r="BR1647" s="4"/>
      <c r="BS1647" s="4"/>
      <c r="BT1647" s="4"/>
      <c r="BU1647" s="4"/>
      <c r="BV1647" s="4"/>
      <c r="BW1647" s="4"/>
      <c r="BX1647" s="4"/>
      <c r="BY1647" s="4"/>
      <c r="BZ1647" s="4"/>
      <c r="CA1647" s="4"/>
      <c r="CB1647" s="4"/>
      <c r="CC1647" s="4"/>
      <c r="CD1647" s="4"/>
      <c r="CE1647" s="4"/>
      <c r="CF1647" s="4"/>
      <c r="CG1647" s="4"/>
      <c r="CH1647" s="4"/>
      <c r="CI1647" s="4"/>
      <c r="CJ1647" s="4"/>
      <c r="CK1647" s="4"/>
      <c r="CL1647" s="4"/>
      <c r="CM1647" s="4"/>
      <c r="CN1647" s="4"/>
      <c r="CO1647" s="4"/>
      <c r="CP1647" s="4"/>
      <c r="CQ1647" s="4"/>
      <c r="CR1647" s="4"/>
      <c r="CS1647" s="4"/>
      <c r="CT1647" s="4"/>
      <c r="CU1647" s="4"/>
      <c r="CV1647" s="4"/>
      <c r="CW1647" s="4"/>
      <c r="CX1647" s="4"/>
      <c r="CY1647" s="4"/>
      <c r="CZ1647" s="4"/>
      <c r="DA1647" s="4"/>
      <c r="DB1647" s="4"/>
      <c r="DC1647" s="4"/>
      <c r="DD1647" s="4"/>
      <c r="DE1647" s="4"/>
      <c r="DF1647" s="4"/>
      <c r="DG1647" s="4"/>
      <c r="DH1647" s="4"/>
      <c r="DI1647" s="4"/>
      <c r="DJ1647" s="4"/>
      <c r="DK1647" s="4"/>
      <c r="DL1647" s="4"/>
      <c r="DM1647" s="4"/>
      <c r="DN1647" s="4"/>
      <c r="DO1647" s="4"/>
      <c r="DP1647" s="4"/>
      <c r="DQ1647" s="4"/>
      <c r="DR1647" s="4"/>
    </row>
    <row r="1648" spans="1:122" x14ac:dyDescent="0.25">
      <c r="A1648" s="2" t="s">
        <v>15</v>
      </c>
      <c r="B1648" s="2" t="str">
        <f>"FES1162769506"</f>
        <v>FES1162769506</v>
      </c>
      <c r="C1648" s="2" t="s">
        <v>1190</v>
      </c>
      <c r="D1648" s="2">
        <v>1</v>
      </c>
      <c r="E1648" s="2" t="str">
        <f>"2170755254"</f>
        <v>2170755254</v>
      </c>
      <c r="F1648" s="2" t="s">
        <v>17</v>
      </c>
      <c r="G1648" s="2" t="s">
        <v>18</v>
      </c>
      <c r="H1648" s="2" t="s">
        <v>36</v>
      </c>
      <c r="I1648" s="2" t="s">
        <v>67</v>
      </c>
      <c r="J1648" s="2" t="s">
        <v>145</v>
      </c>
      <c r="K1648" s="2" t="s">
        <v>1266</v>
      </c>
      <c r="L1648" s="3">
        <v>0.39027777777777778</v>
      </c>
      <c r="M1648" s="2" t="s">
        <v>1364</v>
      </c>
      <c r="N1648" s="2" t="s">
        <v>500</v>
      </c>
      <c r="O1648" s="2"/>
      <c r="P1648" s="4"/>
      <c r="Q1648" s="4"/>
      <c r="R1648" s="4"/>
      <c r="S1648" s="4"/>
      <c r="T1648" s="4"/>
      <c r="U1648" s="4"/>
      <c r="V1648" s="4"/>
      <c r="W1648" s="4"/>
      <c r="X1648" s="4"/>
      <c r="Y1648" s="4"/>
      <c r="Z1648" s="4"/>
      <c r="AA1648" s="4"/>
      <c r="AB1648" s="4"/>
      <c r="AC1648" s="4"/>
      <c r="AD1648" s="4"/>
      <c r="AE1648" s="4"/>
      <c r="AF1648" s="4"/>
      <c r="AG1648" s="4"/>
      <c r="AH1648" s="4"/>
      <c r="AI1648" s="4"/>
      <c r="AJ1648" s="4"/>
      <c r="AK1648" s="4"/>
      <c r="AL1648" s="4"/>
      <c r="AM1648" s="4"/>
      <c r="AN1648" s="4"/>
      <c r="AO1648" s="4"/>
      <c r="AP1648" s="4"/>
      <c r="AQ1648" s="4"/>
      <c r="AR1648" s="4"/>
      <c r="AS1648" s="4"/>
      <c r="AT1648" s="4"/>
      <c r="AU1648" s="4"/>
      <c r="AV1648" s="4"/>
      <c r="AW1648" s="4"/>
      <c r="AX1648" s="4"/>
      <c r="AY1648" s="4"/>
      <c r="AZ1648" s="4"/>
      <c r="BA1648" s="4"/>
      <c r="BB1648" s="4"/>
      <c r="BC1648" s="4"/>
      <c r="BD1648" s="4"/>
      <c r="BE1648" s="4"/>
      <c r="BF1648" s="4"/>
      <c r="BG1648" s="4"/>
      <c r="BH1648" s="4"/>
      <c r="BI1648" s="4"/>
      <c r="BJ1648" s="4"/>
      <c r="BK1648" s="4"/>
      <c r="BL1648" s="4"/>
      <c r="BM1648" s="4"/>
      <c r="BN1648" s="4"/>
      <c r="BO1648" s="4"/>
      <c r="BP1648" s="4"/>
      <c r="BQ1648" s="4"/>
      <c r="BR1648" s="4"/>
      <c r="BS1648" s="4"/>
      <c r="BT1648" s="4"/>
      <c r="BU1648" s="4"/>
      <c r="BV1648" s="4"/>
      <c r="BW1648" s="4"/>
      <c r="BX1648" s="4"/>
      <c r="BY1648" s="4"/>
      <c r="BZ1648" s="4"/>
      <c r="CA1648" s="4"/>
      <c r="CB1648" s="4"/>
      <c r="CC1648" s="4"/>
      <c r="CD1648" s="4"/>
      <c r="CE1648" s="4"/>
      <c r="CF1648" s="4"/>
      <c r="CG1648" s="4"/>
      <c r="CH1648" s="4"/>
      <c r="CI1648" s="4"/>
      <c r="CJ1648" s="4"/>
      <c r="CK1648" s="4"/>
      <c r="CL1648" s="4"/>
      <c r="CM1648" s="4"/>
      <c r="CN1648" s="4"/>
      <c r="CO1648" s="4"/>
      <c r="CP1648" s="4"/>
      <c r="CQ1648" s="4"/>
      <c r="CR1648" s="4"/>
      <c r="CS1648" s="4"/>
      <c r="CT1648" s="4"/>
      <c r="CU1648" s="4"/>
      <c r="CV1648" s="4"/>
      <c r="CW1648" s="4"/>
      <c r="CX1648" s="4"/>
      <c r="CY1648" s="4"/>
      <c r="CZ1648" s="4"/>
      <c r="DA1648" s="4"/>
      <c r="DB1648" s="4"/>
      <c r="DC1648" s="4"/>
      <c r="DD1648" s="4"/>
      <c r="DE1648" s="4"/>
      <c r="DF1648" s="4"/>
      <c r="DG1648" s="4"/>
      <c r="DH1648" s="4"/>
      <c r="DI1648" s="4"/>
      <c r="DJ1648" s="4"/>
      <c r="DK1648" s="4"/>
      <c r="DL1648" s="4"/>
      <c r="DM1648" s="4"/>
      <c r="DN1648" s="4"/>
      <c r="DO1648" s="4"/>
      <c r="DP1648" s="4"/>
      <c r="DQ1648" s="4"/>
      <c r="DR1648" s="4"/>
    </row>
    <row r="1649" spans="1:122" x14ac:dyDescent="0.25">
      <c r="A1649" s="2" t="s">
        <v>15</v>
      </c>
      <c r="B1649" s="2" t="str">
        <f>"FES1162769520"</f>
        <v>FES1162769520</v>
      </c>
      <c r="C1649" s="2" t="s">
        <v>1190</v>
      </c>
      <c r="D1649" s="2">
        <v>1</v>
      </c>
      <c r="E1649" s="2" t="str">
        <f>"2170755630"</f>
        <v>2170755630</v>
      </c>
      <c r="F1649" s="2" t="s">
        <v>17</v>
      </c>
      <c r="G1649" s="2" t="s">
        <v>18</v>
      </c>
      <c r="H1649" s="2" t="s">
        <v>36</v>
      </c>
      <c r="I1649" s="2" t="s">
        <v>37</v>
      </c>
      <c r="J1649" s="2" t="s">
        <v>378</v>
      </c>
      <c r="K1649" s="2" t="s">
        <v>1266</v>
      </c>
      <c r="L1649" s="3">
        <v>0.43402777777777773</v>
      </c>
      <c r="M1649" s="2" t="s">
        <v>379</v>
      </c>
      <c r="N1649" s="2" t="s">
        <v>500</v>
      </c>
      <c r="O1649" s="2"/>
      <c r="P1649" s="4"/>
      <c r="Q1649" s="4"/>
      <c r="R1649" s="4"/>
      <c r="S1649" s="4"/>
      <c r="T1649" s="4"/>
      <c r="U1649" s="4"/>
      <c r="V1649" s="4"/>
      <c r="W1649" s="4"/>
      <c r="X1649" s="4"/>
      <c r="Y1649" s="4"/>
      <c r="Z1649" s="4"/>
      <c r="AA1649" s="4"/>
      <c r="AB1649" s="4"/>
      <c r="AC1649" s="4"/>
      <c r="AD1649" s="4"/>
      <c r="AE1649" s="4"/>
      <c r="AF1649" s="4"/>
      <c r="AG1649" s="4"/>
      <c r="AH1649" s="4"/>
      <c r="AI1649" s="4"/>
      <c r="AJ1649" s="4"/>
      <c r="AK1649" s="4"/>
      <c r="AL1649" s="4"/>
      <c r="AM1649" s="4"/>
      <c r="AN1649" s="4"/>
      <c r="AO1649" s="4"/>
      <c r="AP1649" s="4"/>
      <c r="AQ1649" s="4"/>
      <c r="AR1649" s="4"/>
      <c r="AS1649" s="4"/>
      <c r="AT1649" s="4"/>
      <c r="AU1649" s="4"/>
      <c r="AV1649" s="4"/>
      <c r="AW1649" s="4"/>
      <c r="AX1649" s="4"/>
      <c r="AY1649" s="4"/>
      <c r="AZ1649" s="4"/>
      <c r="BA1649" s="4"/>
      <c r="BB1649" s="4"/>
      <c r="BC1649" s="4"/>
      <c r="BD1649" s="4"/>
      <c r="BE1649" s="4"/>
      <c r="BF1649" s="4"/>
      <c r="BG1649" s="4"/>
      <c r="BH1649" s="4"/>
      <c r="BI1649" s="4"/>
      <c r="BJ1649" s="4"/>
      <c r="BK1649" s="4"/>
      <c r="BL1649" s="4"/>
      <c r="BM1649" s="4"/>
      <c r="BN1649" s="4"/>
      <c r="BO1649" s="4"/>
      <c r="BP1649" s="4"/>
      <c r="BQ1649" s="4"/>
      <c r="BR1649" s="4"/>
      <c r="BS1649" s="4"/>
      <c r="BT1649" s="4"/>
      <c r="BU1649" s="4"/>
      <c r="BV1649" s="4"/>
      <c r="BW1649" s="4"/>
      <c r="BX1649" s="4"/>
      <c r="BY1649" s="4"/>
      <c r="BZ1649" s="4"/>
      <c r="CA1649" s="4"/>
      <c r="CB1649" s="4"/>
      <c r="CC1649" s="4"/>
      <c r="CD1649" s="4"/>
      <c r="CE1649" s="4"/>
      <c r="CF1649" s="4"/>
      <c r="CG1649" s="4"/>
      <c r="CH1649" s="4"/>
      <c r="CI1649" s="4"/>
      <c r="CJ1649" s="4"/>
      <c r="CK1649" s="4"/>
      <c r="CL1649" s="4"/>
      <c r="CM1649" s="4"/>
      <c r="CN1649" s="4"/>
      <c r="CO1649" s="4"/>
      <c r="CP1649" s="4"/>
      <c r="CQ1649" s="4"/>
      <c r="CR1649" s="4"/>
      <c r="CS1649" s="4"/>
      <c r="CT1649" s="4"/>
      <c r="CU1649" s="4"/>
      <c r="CV1649" s="4"/>
      <c r="CW1649" s="4"/>
      <c r="CX1649" s="4"/>
      <c r="CY1649" s="4"/>
      <c r="CZ1649" s="4"/>
      <c r="DA1649" s="4"/>
      <c r="DB1649" s="4"/>
      <c r="DC1649" s="4"/>
      <c r="DD1649" s="4"/>
      <c r="DE1649" s="4"/>
      <c r="DF1649" s="4"/>
      <c r="DG1649" s="4"/>
      <c r="DH1649" s="4"/>
      <c r="DI1649" s="4"/>
      <c r="DJ1649" s="4"/>
      <c r="DK1649" s="4"/>
      <c r="DL1649" s="4"/>
      <c r="DM1649" s="4"/>
      <c r="DN1649" s="4"/>
      <c r="DO1649" s="4"/>
      <c r="DP1649" s="4"/>
      <c r="DQ1649" s="4"/>
      <c r="DR1649" s="4"/>
    </row>
    <row r="1650" spans="1:122" x14ac:dyDescent="0.25">
      <c r="A1650" s="2" t="s">
        <v>15</v>
      </c>
      <c r="B1650" s="2" t="str">
        <f>"FES1162769655"</f>
        <v>FES1162769655</v>
      </c>
      <c r="C1650" s="2" t="s">
        <v>1190</v>
      </c>
      <c r="D1650" s="2">
        <v>1</v>
      </c>
      <c r="E1650" s="2" t="str">
        <f>"2170756748"</f>
        <v>2170756748</v>
      </c>
      <c r="F1650" s="2" t="s">
        <v>17</v>
      </c>
      <c r="G1650" s="2" t="s">
        <v>18</v>
      </c>
      <c r="H1650" s="2" t="s">
        <v>18</v>
      </c>
      <c r="I1650" s="2" t="s">
        <v>95</v>
      </c>
      <c r="J1650" s="2" t="s">
        <v>1305</v>
      </c>
      <c r="K1650" s="2" t="s">
        <v>1266</v>
      </c>
      <c r="L1650" s="3">
        <v>0.3833333333333333</v>
      </c>
      <c r="M1650" s="2" t="s">
        <v>1365</v>
      </c>
      <c r="N1650" s="2" t="s">
        <v>500</v>
      </c>
      <c r="O1650" s="2"/>
      <c r="P1650" s="4"/>
      <c r="Q1650" s="4"/>
      <c r="R1650" s="4"/>
      <c r="S1650" s="4"/>
      <c r="T1650" s="4"/>
      <c r="U1650" s="4"/>
      <c r="V1650" s="4"/>
      <c r="W1650" s="4"/>
      <c r="X1650" s="4"/>
      <c r="Y1650" s="4"/>
      <c r="Z1650" s="4"/>
      <c r="AA1650" s="4"/>
      <c r="AB1650" s="4"/>
      <c r="AC1650" s="4"/>
      <c r="AD1650" s="4"/>
      <c r="AE1650" s="4"/>
      <c r="AF1650" s="4"/>
      <c r="AG1650" s="4"/>
      <c r="AH1650" s="4"/>
      <c r="AI1650" s="4"/>
      <c r="AJ1650" s="4"/>
      <c r="AK1650" s="4"/>
      <c r="AL1650" s="4"/>
      <c r="AM1650" s="4"/>
      <c r="AN1650" s="4"/>
      <c r="AO1650" s="4"/>
      <c r="AP1650" s="4"/>
      <c r="AQ1650" s="4"/>
      <c r="AR1650" s="4"/>
      <c r="AS1650" s="4"/>
      <c r="AT1650" s="4"/>
      <c r="AU1650" s="4"/>
      <c r="AV1650" s="4"/>
      <c r="AW1650" s="4"/>
      <c r="AX1650" s="4"/>
      <c r="AY1650" s="4"/>
      <c r="AZ1650" s="4"/>
      <c r="BA1650" s="4"/>
      <c r="BB1650" s="4"/>
      <c r="BC1650" s="4"/>
      <c r="BD1650" s="4"/>
      <c r="BE1650" s="4"/>
      <c r="BF1650" s="4"/>
      <c r="BG1650" s="4"/>
      <c r="BH1650" s="4"/>
      <c r="BI1650" s="4"/>
      <c r="BJ1650" s="4"/>
      <c r="BK1650" s="4"/>
      <c r="BL1650" s="4"/>
      <c r="BM1650" s="4"/>
      <c r="BN1650" s="4"/>
      <c r="BO1650" s="4"/>
      <c r="BP1650" s="4"/>
      <c r="BQ1650" s="4"/>
      <c r="BR1650" s="4"/>
      <c r="BS1650" s="4"/>
      <c r="BT1650" s="4"/>
      <c r="BU1650" s="4"/>
      <c r="BV1650" s="4"/>
      <c r="BW1650" s="4"/>
      <c r="BX1650" s="4"/>
      <c r="BY1650" s="4"/>
      <c r="BZ1650" s="4"/>
      <c r="CA1650" s="4"/>
      <c r="CB1650" s="4"/>
      <c r="CC1650" s="4"/>
      <c r="CD1650" s="4"/>
      <c r="CE1650" s="4"/>
      <c r="CF1650" s="4"/>
      <c r="CG1650" s="4"/>
      <c r="CH1650" s="4"/>
      <c r="CI1650" s="4"/>
      <c r="CJ1650" s="4"/>
      <c r="CK1650" s="4"/>
      <c r="CL1650" s="4"/>
      <c r="CM1650" s="4"/>
      <c r="CN1650" s="4"/>
      <c r="CO1650" s="4"/>
      <c r="CP1650" s="4"/>
      <c r="CQ1650" s="4"/>
      <c r="CR1650" s="4"/>
      <c r="CS1650" s="4"/>
      <c r="CT1650" s="4"/>
      <c r="CU1650" s="4"/>
      <c r="CV1650" s="4"/>
      <c r="CW1650" s="4"/>
      <c r="CX1650" s="4"/>
      <c r="CY1650" s="4"/>
      <c r="CZ1650" s="4"/>
      <c r="DA1650" s="4"/>
      <c r="DB1650" s="4"/>
      <c r="DC1650" s="4"/>
      <c r="DD1650" s="4"/>
      <c r="DE1650" s="4"/>
      <c r="DF1650" s="4"/>
      <c r="DG1650" s="4"/>
      <c r="DH1650" s="4"/>
      <c r="DI1650" s="4"/>
      <c r="DJ1650" s="4"/>
      <c r="DK1650" s="4"/>
      <c r="DL1650" s="4"/>
      <c r="DM1650" s="4"/>
      <c r="DN1650" s="4"/>
      <c r="DO1650" s="4"/>
      <c r="DP1650" s="4"/>
      <c r="DQ1650" s="4"/>
      <c r="DR1650" s="4"/>
    </row>
    <row r="1651" spans="1:122" x14ac:dyDescent="0.25">
      <c r="A1651" s="2" t="s">
        <v>15</v>
      </c>
      <c r="B1651" s="2" t="str">
        <f>"FES1162769497"</f>
        <v>FES1162769497</v>
      </c>
      <c r="C1651" s="2" t="s">
        <v>1190</v>
      </c>
      <c r="D1651" s="2">
        <v>1</v>
      </c>
      <c r="E1651" s="2" t="str">
        <f>"21707584981"</f>
        <v>21707584981</v>
      </c>
      <c r="F1651" s="2" t="s">
        <v>17</v>
      </c>
      <c r="G1651" s="2" t="s">
        <v>18</v>
      </c>
      <c r="H1651" s="2" t="s">
        <v>19</v>
      </c>
      <c r="I1651" s="2" t="s">
        <v>20</v>
      </c>
      <c r="J1651" s="2" t="s">
        <v>21</v>
      </c>
      <c r="K1651" s="2" t="s">
        <v>1266</v>
      </c>
      <c r="L1651" s="3">
        <v>0.36458333333333331</v>
      </c>
      <c r="M1651" s="2" t="s">
        <v>682</v>
      </c>
      <c r="N1651" s="2" t="s">
        <v>500</v>
      </c>
      <c r="O1651" s="2"/>
      <c r="P1651" s="4"/>
      <c r="Q1651" s="4"/>
      <c r="R1651" s="4"/>
      <c r="S1651" s="4"/>
      <c r="T1651" s="4"/>
      <c r="U1651" s="4"/>
      <c r="V1651" s="4"/>
      <c r="W1651" s="4"/>
      <c r="X1651" s="4"/>
      <c r="Y1651" s="4"/>
      <c r="Z1651" s="4"/>
      <c r="AA1651" s="4"/>
      <c r="AB1651" s="4"/>
      <c r="AC1651" s="4"/>
      <c r="AD1651" s="4"/>
      <c r="AE1651" s="4"/>
      <c r="AF1651" s="4"/>
      <c r="AG1651" s="4"/>
      <c r="AH1651" s="4"/>
      <c r="AI1651" s="4"/>
      <c r="AJ1651" s="4"/>
      <c r="AK1651" s="4"/>
      <c r="AL1651" s="4"/>
      <c r="AM1651" s="4"/>
      <c r="AN1651" s="4"/>
      <c r="AO1651" s="4"/>
      <c r="AP1651" s="4"/>
      <c r="AQ1651" s="4"/>
      <c r="AR1651" s="4"/>
      <c r="AS1651" s="4"/>
      <c r="AT1651" s="4"/>
      <c r="AU1651" s="4"/>
      <c r="AV1651" s="4"/>
      <c r="AW1651" s="4"/>
      <c r="AX1651" s="4"/>
      <c r="AY1651" s="4"/>
      <c r="AZ1651" s="4"/>
      <c r="BA1651" s="4"/>
      <c r="BB1651" s="4"/>
      <c r="BC1651" s="4"/>
      <c r="BD1651" s="4"/>
      <c r="BE1651" s="4"/>
      <c r="BF1651" s="4"/>
      <c r="BG1651" s="4"/>
      <c r="BH1651" s="4"/>
      <c r="BI1651" s="4"/>
      <c r="BJ1651" s="4"/>
      <c r="BK1651" s="4"/>
      <c r="BL1651" s="4"/>
      <c r="BM1651" s="4"/>
      <c r="BN1651" s="4"/>
      <c r="BO1651" s="4"/>
      <c r="BP1651" s="4"/>
      <c r="BQ1651" s="4"/>
      <c r="BR1651" s="4"/>
      <c r="BS1651" s="4"/>
      <c r="BT1651" s="4"/>
      <c r="BU1651" s="4"/>
      <c r="BV1651" s="4"/>
      <c r="BW1651" s="4"/>
      <c r="BX1651" s="4"/>
      <c r="BY1651" s="4"/>
      <c r="BZ1651" s="4"/>
      <c r="CA1651" s="4"/>
      <c r="CB1651" s="4"/>
      <c r="CC1651" s="4"/>
      <c r="CD1651" s="4"/>
      <c r="CE1651" s="4"/>
      <c r="CF1651" s="4"/>
      <c r="CG1651" s="4"/>
      <c r="CH1651" s="4"/>
      <c r="CI1651" s="4"/>
      <c r="CJ1651" s="4"/>
      <c r="CK1651" s="4"/>
      <c r="CL1651" s="4"/>
      <c r="CM1651" s="4"/>
      <c r="CN1651" s="4"/>
      <c r="CO1651" s="4"/>
      <c r="CP1651" s="4"/>
      <c r="CQ1651" s="4"/>
      <c r="CR1651" s="4"/>
      <c r="CS1651" s="4"/>
      <c r="CT1651" s="4"/>
      <c r="CU1651" s="4"/>
      <c r="CV1651" s="4"/>
      <c r="CW1651" s="4"/>
      <c r="CX1651" s="4"/>
      <c r="CY1651" s="4"/>
      <c r="CZ1651" s="4"/>
      <c r="DA1651" s="4"/>
      <c r="DB1651" s="4"/>
      <c r="DC1651" s="4"/>
      <c r="DD1651" s="4"/>
      <c r="DE1651" s="4"/>
      <c r="DF1651" s="4"/>
      <c r="DG1651" s="4"/>
      <c r="DH1651" s="4"/>
      <c r="DI1651" s="4"/>
      <c r="DJ1651" s="4"/>
      <c r="DK1651" s="4"/>
      <c r="DL1651" s="4"/>
      <c r="DM1651" s="4"/>
      <c r="DN1651" s="4"/>
      <c r="DO1651" s="4"/>
      <c r="DP1651" s="4"/>
      <c r="DQ1651" s="4"/>
      <c r="DR1651" s="4"/>
    </row>
    <row r="1652" spans="1:122" x14ac:dyDescent="0.25">
      <c r="A1652" s="2" t="s">
        <v>15</v>
      </c>
      <c r="B1652" s="2" t="str">
        <f>"FES1162769631"</f>
        <v>FES1162769631</v>
      </c>
      <c r="C1652" s="2" t="s">
        <v>1190</v>
      </c>
      <c r="D1652" s="2">
        <v>1</v>
      </c>
      <c r="E1652" s="2" t="str">
        <f>"2170756710"</f>
        <v>2170756710</v>
      </c>
      <c r="F1652" s="2" t="s">
        <v>17</v>
      </c>
      <c r="G1652" s="2" t="s">
        <v>18</v>
      </c>
      <c r="H1652" s="2" t="s">
        <v>18</v>
      </c>
      <c r="I1652" s="2" t="s">
        <v>290</v>
      </c>
      <c r="J1652" s="2" t="s">
        <v>420</v>
      </c>
      <c r="K1652" s="2" t="s">
        <v>1266</v>
      </c>
      <c r="L1652" s="3">
        <v>0.43055555555555558</v>
      </c>
      <c r="M1652" s="2" t="s">
        <v>588</v>
      </c>
      <c r="N1652" s="2" t="s">
        <v>500</v>
      </c>
      <c r="O1652" s="2"/>
      <c r="P1652" s="4"/>
      <c r="Q1652" s="4"/>
      <c r="R1652" s="4"/>
      <c r="S1652" s="4"/>
      <c r="T1652" s="4"/>
      <c r="U1652" s="4"/>
      <c r="V1652" s="4"/>
      <c r="W1652" s="4"/>
      <c r="X1652" s="4"/>
      <c r="Y1652" s="4"/>
      <c r="Z1652" s="4"/>
      <c r="AA1652" s="4"/>
      <c r="AB1652" s="4"/>
      <c r="AC1652" s="4"/>
      <c r="AD1652" s="4"/>
      <c r="AE1652" s="4"/>
      <c r="AF1652" s="4"/>
      <c r="AG1652" s="4"/>
      <c r="AH1652" s="4"/>
      <c r="AI1652" s="4"/>
      <c r="AJ1652" s="4"/>
      <c r="AK1652" s="4"/>
      <c r="AL1652" s="4"/>
      <c r="AM1652" s="4"/>
      <c r="AN1652" s="4"/>
      <c r="AO1652" s="4"/>
      <c r="AP1652" s="4"/>
      <c r="AQ1652" s="4"/>
      <c r="AR1652" s="4"/>
      <c r="AS1652" s="4"/>
      <c r="AT1652" s="4"/>
      <c r="AU1652" s="4"/>
      <c r="AV1652" s="4"/>
      <c r="AW1652" s="4"/>
      <c r="AX1652" s="4"/>
      <c r="AY1652" s="4"/>
      <c r="AZ1652" s="4"/>
      <c r="BA1652" s="4"/>
      <c r="BB1652" s="4"/>
      <c r="BC1652" s="4"/>
      <c r="BD1652" s="4"/>
      <c r="BE1652" s="4"/>
      <c r="BF1652" s="4"/>
      <c r="BG1652" s="4"/>
      <c r="BH1652" s="4"/>
      <c r="BI1652" s="4"/>
      <c r="BJ1652" s="4"/>
      <c r="BK1652" s="4"/>
      <c r="BL1652" s="4"/>
      <c r="BM1652" s="4"/>
      <c r="BN1652" s="4"/>
      <c r="BO1652" s="4"/>
      <c r="BP1652" s="4"/>
      <c r="BQ1652" s="4"/>
      <c r="BR1652" s="4"/>
      <c r="BS1652" s="4"/>
      <c r="BT1652" s="4"/>
      <c r="BU1652" s="4"/>
      <c r="BV1652" s="4"/>
      <c r="BW1652" s="4"/>
      <c r="BX1652" s="4"/>
      <c r="BY1652" s="4"/>
      <c r="BZ1652" s="4"/>
      <c r="CA1652" s="4"/>
      <c r="CB1652" s="4"/>
      <c r="CC1652" s="4"/>
      <c r="CD1652" s="4"/>
      <c r="CE1652" s="4"/>
      <c r="CF1652" s="4"/>
      <c r="CG1652" s="4"/>
      <c r="CH1652" s="4"/>
      <c r="CI1652" s="4"/>
      <c r="CJ1652" s="4"/>
      <c r="CK1652" s="4"/>
      <c r="CL1652" s="4"/>
      <c r="CM1652" s="4"/>
      <c r="CN1652" s="4"/>
      <c r="CO1652" s="4"/>
      <c r="CP1652" s="4"/>
      <c r="CQ1652" s="4"/>
      <c r="CR1652" s="4"/>
      <c r="CS1652" s="4"/>
      <c r="CT1652" s="4"/>
      <c r="CU1652" s="4"/>
      <c r="CV1652" s="4"/>
      <c r="CW1652" s="4"/>
      <c r="CX1652" s="4"/>
      <c r="CY1652" s="4"/>
      <c r="CZ1652" s="4"/>
      <c r="DA1652" s="4"/>
      <c r="DB1652" s="4"/>
      <c r="DC1652" s="4"/>
      <c r="DD1652" s="4"/>
      <c r="DE1652" s="4"/>
      <c r="DF1652" s="4"/>
      <c r="DG1652" s="4"/>
      <c r="DH1652" s="4"/>
      <c r="DI1652" s="4"/>
      <c r="DJ1652" s="4"/>
      <c r="DK1652" s="4"/>
      <c r="DL1652" s="4"/>
      <c r="DM1652" s="4"/>
      <c r="DN1652" s="4"/>
      <c r="DO1652" s="4"/>
      <c r="DP1652" s="4"/>
      <c r="DQ1652" s="4"/>
      <c r="DR1652" s="4"/>
    </row>
    <row r="1653" spans="1:122" x14ac:dyDescent="0.25">
      <c r="A1653" s="2" t="s">
        <v>15</v>
      </c>
      <c r="B1653" s="2" t="str">
        <f>"FES1162769856"</f>
        <v>FES1162769856</v>
      </c>
      <c r="C1653" s="2" t="s">
        <v>1190</v>
      </c>
      <c r="D1653" s="2">
        <v>1</v>
      </c>
      <c r="E1653" s="2" t="str">
        <f>"2170757142"</f>
        <v>2170757142</v>
      </c>
      <c r="F1653" s="2" t="s">
        <v>17</v>
      </c>
      <c r="G1653" s="2" t="s">
        <v>18</v>
      </c>
      <c r="H1653" s="2" t="s">
        <v>19</v>
      </c>
      <c r="I1653" s="2" t="s">
        <v>114</v>
      </c>
      <c r="J1653" s="2" t="s">
        <v>66</v>
      </c>
      <c r="K1653" s="2" t="s">
        <v>1266</v>
      </c>
      <c r="L1653" s="3">
        <v>0.56041666666666667</v>
      </c>
      <c r="M1653" s="2" t="s">
        <v>267</v>
      </c>
      <c r="N1653" s="2" t="s">
        <v>500</v>
      </c>
      <c r="O1653" s="2"/>
      <c r="P1653" s="4"/>
      <c r="Q1653" s="4"/>
      <c r="R1653" s="4"/>
      <c r="S1653" s="4"/>
      <c r="T1653" s="4"/>
      <c r="U1653" s="4"/>
      <c r="V1653" s="4"/>
      <c r="W1653" s="4"/>
      <c r="X1653" s="4"/>
      <c r="Y1653" s="4"/>
      <c r="Z1653" s="4"/>
      <c r="AA1653" s="4"/>
      <c r="AB1653" s="4"/>
      <c r="AC1653" s="4"/>
      <c r="AD1653" s="4"/>
      <c r="AE1653" s="4"/>
      <c r="AF1653" s="4"/>
      <c r="AG1653" s="4"/>
      <c r="AH1653" s="4"/>
      <c r="AI1653" s="4"/>
      <c r="AJ1653" s="4"/>
      <c r="AK1653" s="4"/>
      <c r="AL1653" s="4"/>
      <c r="AM1653" s="4"/>
      <c r="AN1653" s="4"/>
      <c r="AO1653" s="4"/>
      <c r="AP1653" s="4"/>
      <c r="AQ1653" s="4"/>
      <c r="AR1653" s="4"/>
      <c r="AS1653" s="4"/>
      <c r="AT1653" s="4"/>
      <c r="AU1653" s="4"/>
      <c r="AV1653" s="4"/>
      <c r="AW1653" s="4"/>
      <c r="AX1653" s="4"/>
      <c r="AY1653" s="4"/>
      <c r="AZ1653" s="4"/>
      <c r="BA1653" s="4"/>
      <c r="BB1653" s="4"/>
      <c r="BC1653" s="4"/>
      <c r="BD1653" s="4"/>
      <c r="BE1653" s="4"/>
      <c r="BF1653" s="4"/>
      <c r="BG1653" s="4"/>
      <c r="BH1653" s="4"/>
      <c r="BI1653" s="4"/>
      <c r="BJ1653" s="4"/>
      <c r="BK1653" s="4"/>
      <c r="BL1653" s="4"/>
      <c r="BM1653" s="4"/>
      <c r="BN1653" s="4"/>
      <c r="BO1653" s="4"/>
      <c r="BP1653" s="4"/>
      <c r="BQ1653" s="4"/>
      <c r="BR1653" s="4"/>
      <c r="BS1653" s="4"/>
      <c r="BT1653" s="4"/>
      <c r="BU1653" s="4"/>
      <c r="BV1653" s="4"/>
      <c r="BW1653" s="4"/>
      <c r="BX1653" s="4"/>
      <c r="BY1653" s="4"/>
      <c r="BZ1653" s="4"/>
      <c r="CA1653" s="4"/>
      <c r="CB1653" s="4"/>
      <c r="CC1653" s="4"/>
      <c r="CD1653" s="4"/>
      <c r="CE1653" s="4"/>
      <c r="CF1653" s="4"/>
      <c r="CG1653" s="4"/>
      <c r="CH1653" s="4"/>
      <c r="CI1653" s="4"/>
      <c r="CJ1653" s="4"/>
      <c r="CK1653" s="4"/>
      <c r="CL1653" s="4"/>
      <c r="CM1653" s="4"/>
      <c r="CN1653" s="4"/>
      <c r="CO1653" s="4"/>
      <c r="CP1653" s="4"/>
      <c r="CQ1653" s="4"/>
      <c r="CR1653" s="4"/>
      <c r="CS1653" s="4"/>
      <c r="CT1653" s="4"/>
      <c r="CU1653" s="4"/>
      <c r="CV1653" s="4"/>
      <c r="CW1653" s="4"/>
      <c r="CX1653" s="4"/>
      <c r="CY1653" s="4"/>
      <c r="CZ1653" s="4"/>
      <c r="DA1653" s="4"/>
      <c r="DB1653" s="4"/>
      <c r="DC1653" s="4"/>
      <c r="DD1653" s="4"/>
      <c r="DE1653" s="4"/>
      <c r="DF1653" s="4"/>
      <c r="DG1653" s="4"/>
      <c r="DH1653" s="4"/>
      <c r="DI1653" s="4"/>
      <c r="DJ1653" s="4"/>
      <c r="DK1653" s="4"/>
      <c r="DL1653" s="4"/>
      <c r="DM1653" s="4"/>
      <c r="DN1653" s="4"/>
      <c r="DO1653" s="4"/>
      <c r="DP1653" s="4"/>
      <c r="DQ1653" s="4"/>
      <c r="DR1653" s="4"/>
    </row>
    <row r="1654" spans="1:122" x14ac:dyDescent="0.25">
      <c r="A1654" s="2" t="s">
        <v>15</v>
      </c>
      <c r="B1654" s="2" t="str">
        <f>"FES1162769735"</f>
        <v>FES1162769735</v>
      </c>
      <c r="C1654" s="2" t="s">
        <v>1190</v>
      </c>
      <c r="D1654" s="2">
        <v>1</v>
      </c>
      <c r="E1654" s="2" t="str">
        <f>"2170756912"</f>
        <v>2170756912</v>
      </c>
      <c r="F1654" s="2" t="s">
        <v>17</v>
      </c>
      <c r="G1654" s="2" t="s">
        <v>18</v>
      </c>
      <c r="H1654" s="2" t="s">
        <v>19</v>
      </c>
      <c r="I1654" s="2" t="s">
        <v>20</v>
      </c>
      <c r="J1654" s="2" t="s">
        <v>21</v>
      </c>
      <c r="K1654" s="2" t="s">
        <v>1266</v>
      </c>
      <c r="L1654" s="3">
        <v>0.36458333333333331</v>
      </c>
      <c r="M1654" s="2" t="s">
        <v>682</v>
      </c>
      <c r="N1654" s="2" t="s">
        <v>500</v>
      </c>
      <c r="O1654" s="2"/>
      <c r="P1654" s="4"/>
      <c r="Q1654" s="4"/>
      <c r="R1654" s="4"/>
      <c r="S1654" s="4"/>
      <c r="T1654" s="4"/>
      <c r="U1654" s="4"/>
      <c r="V1654" s="4"/>
      <c r="W1654" s="4"/>
      <c r="X1654" s="4"/>
      <c r="Y1654" s="4"/>
      <c r="Z1654" s="4"/>
      <c r="AA1654" s="4"/>
      <c r="AB1654" s="4"/>
      <c r="AC1654" s="4"/>
      <c r="AD1654" s="4"/>
      <c r="AE1654" s="4"/>
      <c r="AF1654" s="4"/>
      <c r="AG1654" s="4"/>
      <c r="AH1654" s="4"/>
      <c r="AI1654" s="4"/>
      <c r="AJ1654" s="4"/>
      <c r="AK1654" s="4"/>
      <c r="AL1654" s="4"/>
      <c r="AM1654" s="4"/>
      <c r="AN1654" s="4"/>
      <c r="AO1654" s="4"/>
      <c r="AP1654" s="4"/>
      <c r="AQ1654" s="4"/>
      <c r="AR1654" s="4"/>
      <c r="AS1654" s="4"/>
      <c r="AT1654" s="4"/>
      <c r="AU1654" s="4"/>
      <c r="AV1654" s="4"/>
      <c r="AW1654" s="4"/>
      <c r="AX1654" s="4"/>
      <c r="AY1654" s="4"/>
      <c r="AZ1654" s="4"/>
      <c r="BA1654" s="4"/>
      <c r="BB1654" s="4"/>
      <c r="BC1654" s="4"/>
      <c r="BD1654" s="4"/>
      <c r="BE1654" s="4"/>
      <c r="BF1654" s="4"/>
      <c r="BG1654" s="4"/>
      <c r="BH1654" s="4"/>
      <c r="BI1654" s="4"/>
      <c r="BJ1654" s="4"/>
      <c r="BK1654" s="4"/>
      <c r="BL1654" s="4"/>
      <c r="BM1654" s="4"/>
      <c r="BN1654" s="4"/>
      <c r="BO1654" s="4"/>
      <c r="BP1654" s="4"/>
      <c r="BQ1654" s="4"/>
      <c r="BR1654" s="4"/>
      <c r="BS1654" s="4"/>
      <c r="BT1654" s="4"/>
      <c r="BU1654" s="4"/>
      <c r="BV1654" s="4"/>
      <c r="BW1654" s="4"/>
      <c r="BX1654" s="4"/>
      <c r="BY1654" s="4"/>
      <c r="BZ1654" s="4"/>
      <c r="CA1654" s="4"/>
      <c r="CB1654" s="4"/>
      <c r="CC1654" s="4"/>
      <c r="CD1654" s="4"/>
      <c r="CE1654" s="4"/>
      <c r="CF1654" s="4"/>
      <c r="CG1654" s="4"/>
      <c r="CH1654" s="4"/>
      <c r="CI1654" s="4"/>
      <c r="CJ1654" s="4"/>
      <c r="CK1654" s="4"/>
      <c r="CL1654" s="4"/>
      <c r="CM1654" s="4"/>
      <c r="CN1654" s="4"/>
      <c r="CO1654" s="4"/>
      <c r="CP1654" s="4"/>
      <c r="CQ1654" s="4"/>
      <c r="CR1654" s="4"/>
      <c r="CS1654" s="4"/>
      <c r="CT1654" s="4"/>
      <c r="CU1654" s="4"/>
      <c r="CV1654" s="4"/>
      <c r="CW1654" s="4"/>
      <c r="CX1654" s="4"/>
      <c r="CY1654" s="4"/>
      <c r="CZ1654" s="4"/>
      <c r="DA1654" s="4"/>
      <c r="DB1654" s="4"/>
      <c r="DC1654" s="4"/>
      <c r="DD1654" s="4"/>
      <c r="DE1654" s="4"/>
      <c r="DF1654" s="4"/>
      <c r="DG1654" s="4"/>
      <c r="DH1654" s="4"/>
      <c r="DI1654" s="4"/>
      <c r="DJ1654" s="4"/>
      <c r="DK1654" s="4"/>
      <c r="DL1654" s="4"/>
      <c r="DM1654" s="4"/>
      <c r="DN1654" s="4"/>
      <c r="DO1654" s="4"/>
      <c r="DP1654" s="4"/>
      <c r="DQ1654" s="4"/>
      <c r="DR1654" s="4"/>
    </row>
    <row r="1655" spans="1:122" x14ac:dyDescent="0.25">
      <c r="A1655" s="2" t="s">
        <v>15</v>
      </c>
      <c r="B1655" s="2" t="str">
        <f>"FES1162769857"</f>
        <v>FES1162769857</v>
      </c>
      <c r="C1655" s="2" t="s">
        <v>1190</v>
      </c>
      <c r="D1655" s="2">
        <v>1</v>
      </c>
      <c r="E1655" s="2" t="str">
        <f>"2170757143"</f>
        <v>2170757143</v>
      </c>
      <c r="F1655" s="2" t="s">
        <v>17</v>
      </c>
      <c r="G1655" s="2" t="s">
        <v>18</v>
      </c>
      <c r="H1655" s="2" t="s">
        <v>19</v>
      </c>
      <c r="I1655" s="2" t="s">
        <v>114</v>
      </c>
      <c r="J1655" s="2" t="s">
        <v>66</v>
      </c>
      <c r="K1655" s="2" t="s">
        <v>1266</v>
      </c>
      <c r="L1655" s="3">
        <v>0.56041666666666667</v>
      </c>
      <c r="M1655" s="2" t="s">
        <v>267</v>
      </c>
      <c r="N1655" s="2" t="s">
        <v>500</v>
      </c>
      <c r="O1655" s="2"/>
      <c r="P1655" s="4"/>
      <c r="Q1655" s="4"/>
      <c r="R1655" s="4"/>
      <c r="S1655" s="4"/>
      <c r="T1655" s="4"/>
      <c r="U1655" s="4"/>
      <c r="V1655" s="4"/>
      <c r="W1655" s="4"/>
      <c r="X1655" s="4"/>
      <c r="Y1655" s="4"/>
      <c r="Z1655" s="4"/>
      <c r="AA1655" s="4"/>
      <c r="AB1655" s="4"/>
      <c r="AC1655" s="4"/>
      <c r="AD1655" s="4"/>
      <c r="AE1655" s="4"/>
      <c r="AF1655" s="4"/>
      <c r="AG1655" s="4"/>
      <c r="AH1655" s="4"/>
      <c r="AI1655" s="4"/>
      <c r="AJ1655" s="4"/>
      <c r="AK1655" s="4"/>
      <c r="AL1655" s="4"/>
      <c r="AM1655" s="4"/>
      <c r="AN1655" s="4"/>
      <c r="AO1655" s="4"/>
      <c r="AP1655" s="4"/>
      <c r="AQ1655" s="4"/>
      <c r="AR1655" s="4"/>
      <c r="AS1655" s="4"/>
      <c r="AT1655" s="4"/>
      <c r="AU1655" s="4"/>
      <c r="AV1655" s="4"/>
      <c r="AW1655" s="4"/>
      <c r="AX1655" s="4"/>
      <c r="AY1655" s="4"/>
      <c r="AZ1655" s="4"/>
      <c r="BA1655" s="4"/>
      <c r="BB1655" s="4"/>
      <c r="BC1655" s="4"/>
      <c r="BD1655" s="4"/>
      <c r="BE1655" s="4"/>
      <c r="BF1655" s="4"/>
      <c r="BG1655" s="4"/>
      <c r="BH1655" s="4"/>
      <c r="BI1655" s="4"/>
      <c r="BJ1655" s="4"/>
      <c r="BK1655" s="4"/>
      <c r="BL1655" s="4"/>
      <c r="BM1655" s="4"/>
      <c r="BN1655" s="4"/>
      <c r="BO1655" s="4"/>
      <c r="BP1655" s="4"/>
      <c r="BQ1655" s="4"/>
      <c r="BR1655" s="4"/>
      <c r="BS1655" s="4"/>
      <c r="BT1655" s="4"/>
      <c r="BU1655" s="4"/>
      <c r="BV1655" s="4"/>
      <c r="BW1655" s="4"/>
      <c r="BX1655" s="4"/>
      <c r="BY1655" s="4"/>
      <c r="BZ1655" s="4"/>
      <c r="CA1655" s="4"/>
      <c r="CB1655" s="4"/>
      <c r="CC1655" s="4"/>
      <c r="CD1655" s="4"/>
      <c r="CE1655" s="4"/>
      <c r="CF1655" s="4"/>
      <c r="CG1655" s="4"/>
      <c r="CH1655" s="4"/>
      <c r="CI1655" s="4"/>
      <c r="CJ1655" s="4"/>
      <c r="CK1655" s="4"/>
      <c r="CL1655" s="4"/>
      <c r="CM1655" s="4"/>
      <c r="CN1655" s="4"/>
      <c r="CO1655" s="4"/>
      <c r="CP1655" s="4"/>
      <c r="CQ1655" s="4"/>
      <c r="CR1655" s="4"/>
      <c r="CS1655" s="4"/>
      <c r="CT1655" s="4"/>
      <c r="CU1655" s="4"/>
      <c r="CV1655" s="4"/>
      <c r="CW1655" s="4"/>
      <c r="CX1655" s="4"/>
      <c r="CY1655" s="4"/>
      <c r="CZ1655" s="4"/>
      <c r="DA1655" s="4"/>
      <c r="DB1655" s="4"/>
      <c r="DC1655" s="4"/>
      <c r="DD1655" s="4"/>
      <c r="DE1655" s="4"/>
      <c r="DF1655" s="4"/>
      <c r="DG1655" s="4"/>
      <c r="DH1655" s="4"/>
      <c r="DI1655" s="4"/>
      <c r="DJ1655" s="4"/>
      <c r="DK1655" s="4"/>
      <c r="DL1655" s="4"/>
      <c r="DM1655" s="4"/>
      <c r="DN1655" s="4"/>
      <c r="DO1655" s="4"/>
      <c r="DP1655" s="4"/>
      <c r="DQ1655" s="4"/>
      <c r="DR1655" s="4"/>
    </row>
    <row r="1656" spans="1:122" s="13" customFormat="1" x14ac:dyDescent="0.25">
      <c r="A1656" s="5" t="s">
        <v>15</v>
      </c>
      <c r="B1656" s="5" t="str">
        <f>"FES1162769864"</f>
        <v>FES1162769864</v>
      </c>
      <c r="C1656" s="5" t="s">
        <v>1190</v>
      </c>
      <c r="D1656" s="5">
        <v>1</v>
      </c>
      <c r="E1656" s="5" t="str">
        <f>"2170757166"</f>
        <v>2170757166</v>
      </c>
      <c r="F1656" s="5" t="s">
        <v>17</v>
      </c>
      <c r="G1656" s="5" t="s">
        <v>18</v>
      </c>
      <c r="H1656" s="5" t="s">
        <v>120</v>
      </c>
      <c r="I1656" s="5" t="s">
        <v>121</v>
      </c>
      <c r="J1656" s="5" t="s">
        <v>122</v>
      </c>
      <c r="K1656" s="5" t="s">
        <v>1353</v>
      </c>
      <c r="L1656" s="9">
        <v>0.58333333333333337</v>
      </c>
      <c r="M1656" s="5" t="s">
        <v>1817</v>
      </c>
      <c r="N1656" s="5" t="s">
        <v>500</v>
      </c>
      <c r="O1656" s="5"/>
      <c r="P1656" s="4"/>
      <c r="Q1656" s="4"/>
      <c r="R1656" s="4"/>
      <c r="S1656" s="4"/>
      <c r="T1656" s="4"/>
      <c r="U1656" s="4"/>
      <c r="V1656" s="4"/>
      <c r="W1656" s="4"/>
      <c r="X1656" s="4"/>
      <c r="Y1656" s="4"/>
      <c r="Z1656" s="4"/>
      <c r="AA1656" s="4"/>
      <c r="AB1656" s="4"/>
      <c r="AC1656" s="4"/>
      <c r="AD1656" s="4"/>
      <c r="AE1656" s="4"/>
      <c r="AF1656" s="4"/>
      <c r="AG1656" s="4"/>
      <c r="AH1656" s="4"/>
      <c r="AI1656" s="4"/>
      <c r="AJ1656" s="4"/>
      <c r="AK1656" s="4"/>
      <c r="AL1656" s="4"/>
      <c r="AM1656" s="4"/>
      <c r="AN1656" s="4"/>
      <c r="AO1656" s="4"/>
      <c r="AP1656" s="4"/>
      <c r="AQ1656" s="4"/>
      <c r="AR1656" s="4"/>
      <c r="AS1656" s="4"/>
      <c r="AT1656" s="4"/>
      <c r="AU1656" s="4"/>
      <c r="AV1656" s="4"/>
      <c r="AW1656" s="4"/>
      <c r="AX1656" s="4"/>
      <c r="AY1656" s="4"/>
      <c r="AZ1656" s="4"/>
      <c r="BA1656" s="4"/>
      <c r="BB1656" s="4"/>
      <c r="BC1656" s="4"/>
      <c r="BD1656" s="4"/>
      <c r="BE1656" s="4"/>
      <c r="BF1656" s="4"/>
      <c r="BG1656" s="4"/>
      <c r="BH1656" s="4"/>
      <c r="BI1656" s="4"/>
      <c r="BJ1656" s="4"/>
      <c r="BK1656" s="4"/>
      <c r="BL1656" s="4"/>
      <c r="BM1656" s="4"/>
      <c r="BN1656" s="4"/>
      <c r="BO1656" s="4"/>
      <c r="BP1656" s="4"/>
      <c r="BQ1656" s="4"/>
      <c r="BR1656" s="4"/>
      <c r="BS1656" s="4"/>
      <c r="BT1656" s="4"/>
      <c r="BU1656" s="4"/>
      <c r="BV1656" s="4"/>
      <c r="BW1656" s="4"/>
      <c r="BX1656" s="4"/>
      <c r="BY1656" s="4"/>
      <c r="BZ1656" s="4"/>
      <c r="CA1656" s="4"/>
      <c r="CB1656" s="4"/>
      <c r="CC1656" s="4"/>
      <c r="CD1656" s="4"/>
      <c r="CE1656" s="4"/>
      <c r="CF1656" s="4"/>
      <c r="CG1656" s="4"/>
      <c r="CH1656" s="4"/>
      <c r="CI1656" s="4"/>
      <c r="CJ1656" s="4"/>
      <c r="CK1656" s="4"/>
      <c r="CL1656" s="4"/>
      <c r="CM1656" s="4"/>
      <c r="CN1656" s="4"/>
      <c r="CO1656" s="4"/>
      <c r="CP1656" s="4"/>
      <c r="CQ1656" s="4"/>
      <c r="CR1656" s="4"/>
      <c r="CS1656" s="4"/>
      <c r="CT1656" s="4"/>
      <c r="CU1656" s="4"/>
      <c r="CV1656" s="4"/>
      <c r="CW1656" s="4"/>
      <c r="CX1656" s="4"/>
      <c r="CY1656" s="4"/>
      <c r="CZ1656" s="4"/>
      <c r="DA1656" s="4"/>
      <c r="DB1656" s="4"/>
      <c r="DC1656" s="4"/>
      <c r="DD1656" s="4"/>
      <c r="DE1656" s="4"/>
      <c r="DF1656" s="4"/>
      <c r="DG1656" s="4"/>
      <c r="DH1656" s="4"/>
      <c r="DI1656" s="4"/>
      <c r="DJ1656" s="4"/>
      <c r="DK1656" s="4"/>
      <c r="DL1656" s="4"/>
      <c r="DM1656" s="4"/>
      <c r="DN1656" s="4"/>
      <c r="DO1656" s="4"/>
      <c r="DP1656" s="4"/>
      <c r="DQ1656" s="4"/>
      <c r="DR1656" s="4"/>
    </row>
    <row r="1657" spans="1:122" x14ac:dyDescent="0.25">
      <c r="A1657" s="2" t="s">
        <v>15</v>
      </c>
      <c r="B1657" s="2" t="str">
        <f>"FES1162769892"</f>
        <v>FES1162769892</v>
      </c>
      <c r="C1657" s="2" t="s">
        <v>1190</v>
      </c>
      <c r="D1657" s="2">
        <v>1</v>
      </c>
      <c r="E1657" s="2" t="str">
        <f>"2170757195"</f>
        <v>2170757195</v>
      </c>
      <c r="F1657" s="2" t="s">
        <v>17</v>
      </c>
      <c r="G1657" s="2" t="s">
        <v>18</v>
      </c>
      <c r="H1657" s="2" t="s">
        <v>19</v>
      </c>
      <c r="I1657" s="2" t="s">
        <v>20</v>
      </c>
      <c r="J1657" s="2" t="s">
        <v>327</v>
      </c>
      <c r="K1657" s="2" t="s">
        <v>1266</v>
      </c>
      <c r="L1657" s="3">
        <v>0.32847222222222222</v>
      </c>
      <c r="M1657" s="2" t="s">
        <v>1344</v>
      </c>
      <c r="N1657" s="2" t="s">
        <v>500</v>
      </c>
      <c r="O1657" s="2"/>
      <c r="P1657" s="4"/>
      <c r="Q1657" s="4"/>
      <c r="R1657" s="4"/>
      <c r="S1657" s="4"/>
      <c r="T1657" s="4"/>
      <c r="U1657" s="4"/>
      <c r="V1657" s="4"/>
      <c r="W1657" s="4"/>
      <c r="X1657" s="4"/>
      <c r="Y1657" s="4"/>
      <c r="Z1657" s="4"/>
      <c r="AA1657" s="4"/>
      <c r="AB1657" s="4"/>
      <c r="AC1657" s="4"/>
      <c r="AD1657" s="4"/>
      <c r="AE1657" s="4"/>
      <c r="AF1657" s="4"/>
      <c r="AG1657" s="4"/>
      <c r="AH1657" s="4"/>
      <c r="AI1657" s="4"/>
      <c r="AJ1657" s="4"/>
      <c r="AK1657" s="4"/>
      <c r="AL1657" s="4"/>
      <c r="AM1657" s="4"/>
      <c r="AN1657" s="4"/>
      <c r="AO1657" s="4"/>
      <c r="AP1657" s="4"/>
      <c r="AQ1657" s="4"/>
      <c r="AR1657" s="4"/>
      <c r="AS1657" s="4"/>
      <c r="AT1657" s="4"/>
      <c r="AU1657" s="4"/>
      <c r="AV1657" s="4"/>
      <c r="AW1657" s="4"/>
      <c r="AX1657" s="4"/>
      <c r="AY1657" s="4"/>
      <c r="AZ1657" s="4"/>
      <c r="BA1657" s="4"/>
      <c r="BB1657" s="4"/>
      <c r="BC1657" s="4"/>
      <c r="BD1657" s="4"/>
      <c r="BE1657" s="4"/>
      <c r="BF1657" s="4"/>
      <c r="BG1657" s="4"/>
      <c r="BH1657" s="4"/>
      <c r="BI1657" s="4"/>
      <c r="BJ1657" s="4"/>
      <c r="BK1657" s="4"/>
      <c r="BL1657" s="4"/>
      <c r="BM1657" s="4"/>
      <c r="BN1657" s="4"/>
      <c r="BO1657" s="4"/>
      <c r="BP1657" s="4"/>
      <c r="BQ1657" s="4"/>
      <c r="BR1657" s="4"/>
      <c r="BS1657" s="4"/>
      <c r="BT1657" s="4"/>
      <c r="BU1657" s="4"/>
      <c r="BV1657" s="4"/>
      <c r="BW1657" s="4"/>
      <c r="BX1657" s="4"/>
      <c r="BY1657" s="4"/>
      <c r="BZ1657" s="4"/>
      <c r="CA1657" s="4"/>
      <c r="CB1657" s="4"/>
      <c r="CC1657" s="4"/>
      <c r="CD1657" s="4"/>
      <c r="CE1657" s="4"/>
      <c r="CF1657" s="4"/>
      <c r="CG1657" s="4"/>
      <c r="CH1657" s="4"/>
      <c r="CI1657" s="4"/>
      <c r="CJ1657" s="4"/>
      <c r="CK1657" s="4"/>
      <c r="CL1657" s="4"/>
      <c r="CM1657" s="4"/>
      <c r="CN1657" s="4"/>
      <c r="CO1657" s="4"/>
      <c r="CP1657" s="4"/>
      <c r="CQ1657" s="4"/>
      <c r="CR1657" s="4"/>
      <c r="CS1657" s="4"/>
      <c r="CT1657" s="4"/>
      <c r="CU1657" s="4"/>
      <c r="CV1657" s="4"/>
      <c r="CW1657" s="4"/>
      <c r="CX1657" s="4"/>
      <c r="CY1657" s="4"/>
      <c r="CZ1657" s="4"/>
      <c r="DA1657" s="4"/>
      <c r="DB1657" s="4"/>
      <c r="DC1657" s="4"/>
      <c r="DD1657" s="4"/>
      <c r="DE1657" s="4"/>
      <c r="DF1657" s="4"/>
      <c r="DG1657" s="4"/>
      <c r="DH1657" s="4"/>
      <c r="DI1657" s="4"/>
      <c r="DJ1657" s="4"/>
      <c r="DK1657" s="4"/>
      <c r="DL1657" s="4"/>
      <c r="DM1657" s="4"/>
      <c r="DN1657" s="4"/>
      <c r="DO1657" s="4"/>
      <c r="DP1657" s="4"/>
      <c r="DQ1657" s="4"/>
      <c r="DR1657" s="4"/>
    </row>
    <row r="1658" spans="1:122" x14ac:dyDescent="0.25">
      <c r="A1658" s="2" t="s">
        <v>15</v>
      </c>
      <c r="B1658" s="2" t="str">
        <f>"FES1162769493"</f>
        <v>FES1162769493</v>
      </c>
      <c r="C1658" s="2" t="s">
        <v>1190</v>
      </c>
      <c r="D1658" s="2">
        <v>1</v>
      </c>
      <c r="E1658" s="2" t="str">
        <f>"2170754945"</f>
        <v>2170754945</v>
      </c>
      <c r="F1658" s="2" t="s">
        <v>17</v>
      </c>
      <c r="G1658" s="2" t="s">
        <v>18</v>
      </c>
      <c r="H1658" s="2" t="s">
        <v>19</v>
      </c>
      <c r="I1658" s="2" t="s">
        <v>130</v>
      </c>
      <c r="J1658" s="2" t="s">
        <v>131</v>
      </c>
      <c r="K1658" s="2" t="s">
        <v>1266</v>
      </c>
      <c r="L1658" s="3">
        <v>0.41666666666666669</v>
      </c>
      <c r="M1658" s="2" t="s">
        <v>236</v>
      </c>
      <c r="N1658" s="2" t="s">
        <v>500</v>
      </c>
      <c r="O1658" s="2"/>
      <c r="P1658" s="4"/>
      <c r="Q1658" s="4"/>
      <c r="R1658" s="4"/>
      <c r="S1658" s="4"/>
      <c r="T1658" s="4"/>
      <c r="U1658" s="4"/>
      <c r="V1658" s="4"/>
      <c r="W1658" s="4"/>
      <c r="X1658" s="4"/>
      <c r="Y1658" s="4"/>
      <c r="Z1658" s="4"/>
      <c r="AA1658" s="4"/>
      <c r="AB1658" s="4"/>
      <c r="AC1658" s="4"/>
      <c r="AD1658" s="4"/>
      <c r="AE1658" s="4"/>
      <c r="AF1658" s="4"/>
      <c r="AG1658" s="4"/>
      <c r="AH1658" s="4"/>
      <c r="AI1658" s="4"/>
      <c r="AJ1658" s="4"/>
      <c r="AK1658" s="4"/>
      <c r="AL1658" s="4"/>
      <c r="AM1658" s="4"/>
      <c r="AN1658" s="4"/>
      <c r="AO1658" s="4"/>
      <c r="AP1658" s="4"/>
      <c r="AQ1658" s="4"/>
      <c r="AR1658" s="4"/>
      <c r="AS1658" s="4"/>
      <c r="AT1658" s="4"/>
      <c r="AU1658" s="4"/>
      <c r="AV1658" s="4"/>
      <c r="AW1658" s="4"/>
      <c r="AX1658" s="4"/>
      <c r="AY1658" s="4"/>
      <c r="AZ1658" s="4"/>
      <c r="BA1658" s="4"/>
      <c r="BB1658" s="4"/>
      <c r="BC1658" s="4"/>
      <c r="BD1658" s="4"/>
      <c r="BE1658" s="4"/>
      <c r="BF1658" s="4"/>
      <c r="BG1658" s="4"/>
      <c r="BH1658" s="4"/>
      <c r="BI1658" s="4"/>
      <c r="BJ1658" s="4"/>
      <c r="BK1658" s="4"/>
      <c r="BL1658" s="4"/>
      <c r="BM1658" s="4"/>
      <c r="BN1658" s="4"/>
      <c r="BO1658" s="4"/>
      <c r="BP1658" s="4"/>
      <c r="BQ1658" s="4"/>
      <c r="BR1658" s="4"/>
      <c r="BS1658" s="4"/>
      <c r="BT1658" s="4"/>
      <c r="BU1658" s="4"/>
      <c r="BV1658" s="4"/>
      <c r="BW1658" s="4"/>
      <c r="BX1658" s="4"/>
      <c r="BY1658" s="4"/>
      <c r="BZ1658" s="4"/>
      <c r="CA1658" s="4"/>
      <c r="CB1658" s="4"/>
      <c r="CC1658" s="4"/>
      <c r="CD1658" s="4"/>
      <c r="CE1658" s="4"/>
      <c r="CF1658" s="4"/>
      <c r="CG1658" s="4"/>
      <c r="CH1658" s="4"/>
      <c r="CI1658" s="4"/>
      <c r="CJ1658" s="4"/>
      <c r="CK1658" s="4"/>
      <c r="CL1658" s="4"/>
      <c r="CM1658" s="4"/>
      <c r="CN1658" s="4"/>
      <c r="CO1658" s="4"/>
      <c r="CP1658" s="4"/>
      <c r="CQ1658" s="4"/>
      <c r="CR1658" s="4"/>
      <c r="CS1658" s="4"/>
      <c r="CT1658" s="4"/>
      <c r="CU1658" s="4"/>
      <c r="CV1658" s="4"/>
      <c r="CW1658" s="4"/>
      <c r="CX1658" s="4"/>
      <c r="CY1658" s="4"/>
      <c r="CZ1658" s="4"/>
      <c r="DA1658" s="4"/>
      <c r="DB1658" s="4"/>
      <c r="DC1658" s="4"/>
      <c r="DD1658" s="4"/>
      <c r="DE1658" s="4"/>
      <c r="DF1658" s="4"/>
      <c r="DG1658" s="4"/>
      <c r="DH1658" s="4"/>
      <c r="DI1658" s="4"/>
      <c r="DJ1658" s="4"/>
      <c r="DK1658" s="4"/>
      <c r="DL1658" s="4"/>
      <c r="DM1658" s="4"/>
      <c r="DN1658" s="4"/>
      <c r="DO1658" s="4"/>
      <c r="DP1658" s="4"/>
      <c r="DQ1658" s="4"/>
      <c r="DR1658" s="4"/>
    </row>
    <row r="1659" spans="1:122" x14ac:dyDescent="0.25">
      <c r="A1659" s="2" t="s">
        <v>15</v>
      </c>
      <c r="B1659" s="2" t="str">
        <f>"FES1162769912"</f>
        <v>FES1162769912</v>
      </c>
      <c r="C1659" s="2" t="s">
        <v>1190</v>
      </c>
      <c r="D1659" s="2">
        <v>1</v>
      </c>
      <c r="E1659" s="2" t="str">
        <f>"2170757224"</f>
        <v>2170757224</v>
      </c>
      <c r="F1659" s="2" t="s">
        <v>17</v>
      </c>
      <c r="G1659" s="2" t="s">
        <v>18</v>
      </c>
      <c r="H1659" s="2" t="s">
        <v>19</v>
      </c>
      <c r="I1659" s="2" t="s">
        <v>73</v>
      </c>
      <c r="J1659" s="2" t="s">
        <v>491</v>
      </c>
      <c r="K1659" s="2" t="s">
        <v>1266</v>
      </c>
      <c r="L1659" s="3">
        <v>0.3666666666666667</v>
      </c>
      <c r="M1659" s="2" t="s">
        <v>1366</v>
      </c>
      <c r="N1659" s="2" t="s">
        <v>500</v>
      </c>
      <c r="O1659" s="2"/>
      <c r="P1659" s="4"/>
      <c r="Q1659" s="4"/>
      <c r="R1659" s="4"/>
      <c r="S1659" s="4"/>
      <c r="T1659" s="4"/>
      <c r="U1659" s="4"/>
      <c r="V1659" s="4"/>
      <c r="W1659" s="4"/>
      <c r="X1659" s="4"/>
      <c r="Y1659" s="4"/>
      <c r="Z1659" s="4"/>
      <c r="AA1659" s="4"/>
      <c r="AB1659" s="4"/>
      <c r="AC1659" s="4"/>
      <c r="AD1659" s="4"/>
      <c r="AE1659" s="4"/>
      <c r="AF1659" s="4"/>
      <c r="AG1659" s="4"/>
      <c r="AH1659" s="4"/>
      <c r="AI1659" s="4"/>
      <c r="AJ1659" s="4"/>
      <c r="AK1659" s="4"/>
      <c r="AL1659" s="4"/>
      <c r="AM1659" s="4"/>
      <c r="AN1659" s="4"/>
      <c r="AO1659" s="4"/>
      <c r="AP1659" s="4"/>
      <c r="AQ1659" s="4"/>
      <c r="AR1659" s="4"/>
      <c r="AS1659" s="4"/>
      <c r="AT1659" s="4"/>
      <c r="AU1659" s="4"/>
      <c r="AV1659" s="4"/>
      <c r="AW1659" s="4"/>
      <c r="AX1659" s="4"/>
      <c r="AY1659" s="4"/>
      <c r="AZ1659" s="4"/>
      <c r="BA1659" s="4"/>
      <c r="BB1659" s="4"/>
      <c r="BC1659" s="4"/>
      <c r="BD1659" s="4"/>
      <c r="BE1659" s="4"/>
      <c r="BF1659" s="4"/>
      <c r="BG1659" s="4"/>
      <c r="BH1659" s="4"/>
      <c r="BI1659" s="4"/>
      <c r="BJ1659" s="4"/>
      <c r="BK1659" s="4"/>
      <c r="BL1659" s="4"/>
      <c r="BM1659" s="4"/>
      <c r="BN1659" s="4"/>
      <c r="BO1659" s="4"/>
      <c r="BP1659" s="4"/>
      <c r="BQ1659" s="4"/>
      <c r="BR1659" s="4"/>
      <c r="BS1659" s="4"/>
      <c r="BT1659" s="4"/>
      <c r="BU1659" s="4"/>
      <c r="BV1659" s="4"/>
      <c r="BW1659" s="4"/>
      <c r="BX1659" s="4"/>
      <c r="BY1659" s="4"/>
      <c r="BZ1659" s="4"/>
      <c r="CA1659" s="4"/>
      <c r="CB1659" s="4"/>
      <c r="CC1659" s="4"/>
      <c r="CD1659" s="4"/>
      <c r="CE1659" s="4"/>
      <c r="CF1659" s="4"/>
      <c r="CG1659" s="4"/>
      <c r="CH1659" s="4"/>
      <c r="CI1659" s="4"/>
      <c r="CJ1659" s="4"/>
      <c r="CK1659" s="4"/>
      <c r="CL1659" s="4"/>
      <c r="CM1659" s="4"/>
      <c r="CN1659" s="4"/>
      <c r="CO1659" s="4"/>
      <c r="CP1659" s="4"/>
      <c r="CQ1659" s="4"/>
      <c r="CR1659" s="4"/>
      <c r="CS1659" s="4"/>
      <c r="CT1659" s="4"/>
      <c r="CU1659" s="4"/>
      <c r="CV1659" s="4"/>
      <c r="CW1659" s="4"/>
      <c r="CX1659" s="4"/>
      <c r="CY1659" s="4"/>
      <c r="CZ1659" s="4"/>
      <c r="DA1659" s="4"/>
      <c r="DB1659" s="4"/>
      <c r="DC1659" s="4"/>
      <c r="DD1659" s="4"/>
      <c r="DE1659" s="4"/>
      <c r="DF1659" s="4"/>
      <c r="DG1659" s="4"/>
      <c r="DH1659" s="4"/>
      <c r="DI1659" s="4"/>
      <c r="DJ1659" s="4"/>
      <c r="DK1659" s="4"/>
      <c r="DL1659" s="4"/>
      <c r="DM1659" s="4"/>
      <c r="DN1659" s="4"/>
      <c r="DO1659" s="4"/>
      <c r="DP1659" s="4"/>
      <c r="DQ1659" s="4"/>
      <c r="DR1659" s="4"/>
    </row>
    <row r="1660" spans="1:122" x14ac:dyDescent="0.25">
      <c r="A1660" s="2" t="s">
        <v>15</v>
      </c>
      <c r="B1660" s="2" t="str">
        <f>"FES1162769759"</f>
        <v>FES1162769759</v>
      </c>
      <c r="C1660" s="2" t="s">
        <v>1190</v>
      </c>
      <c r="D1660" s="2">
        <v>1</v>
      </c>
      <c r="E1660" s="2" t="str">
        <f>"2170756973"</f>
        <v>2170756973</v>
      </c>
      <c r="F1660" s="2" t="s">
        <v>17</v>
      </c>
      <c r="G1660" s="2" t="s">
        <v>18</v>
      </c>
      <c r="H1660" s="2" t="s">
        <v>19</v>
      </c>
      <c r="I1660" s="2" t="s">
        <v>111</v>
      </c>
      <c r="J1660" s="2" t="s">
        <v>1014</v>
      </c>
      <c r="K1660" s="2" t="s">
        <v>1266</v>
      </c>
      <c r="L1660" s="3">
        <v>0.36180555555555555</v>
      </c>
      <c r="M1660" s="2" t="s">
        <v>1059</v>
      </c>
      <c r="N1660" s="2" t="s">
        <v>500</v>
      </c>
      <c r="O1660" s="2"/>
      <c r="P1660" s="4"/>
      <c r="Q1660" s="4"/>
      <c r="R1660" s="4"/>
      <c r="S1660" s="4"/>
      <c r="T1660" s="4"/>
      <c r="U1660" s="4"/>
      <c r="V1660" s="4"/>
      <c r="W1660" s="4"/>
      <c r="X1660" s="4"/>
      <c r="Y1660" s="4"/>
      <c r="Z1660" s="4"/>
      <c r="AA1660" s="4"/>
      <c r="AB1660" s="4"/>
      <c r="AC1660" s="4"/>
      <c r="AD1660" s="4"/>
      <c r="AE1660" s="4"/>
      <c r="AF1660" s="4"/>
      <c r="AG1660" s="4"/>
      <c r="AH1660" s="4"/>
      <c r="AI1660" s="4"/>
      <c r="AJ1660" s="4"/>
      <c r="AK1660" s="4"/>
      <c r="AL1660" s="4"/>
      <c r="AM1660" s="4"/>
      <c r="AN1660" s="4"/>
      <c r="AO1660" s="4"/>
      <c r="AP1660" s="4"/>
      <c r="AQ1660" s="4"/>
      <c r="AR1660" s="4"/>
      <c r="AS1660" s="4"/>
      <c r="AT1660" s="4"/>
      <c r="AU1660" s="4"/>
      <c r="AV1660" s="4"/>
      <c r="AW1660" s="4"/>
      <c r="AX1660" s="4"/>
      <c r="AY1660" s="4"/>
      <c r="AZ1660" s="4"/>
      <c r="BA1660" s="4"/>
      <c r="BB1660" s="4"/>
      <c r="BC1660" s="4"/>
      <c r="BD1660" s="4"/>
      <c r="BE1660" s="4"/>
      <c r="BF1660" s="4"/>
      <c r="BG1660" s="4"/>
      <c r="BH1660" s="4"/>
      <c r="BI1660" s="4"/>
      <c r="BJ1660" s="4"/>
      <c r="BK1660" s="4"/>
      <c r="BL1660" s="4"/>
      <c r="BM1660" s="4"/>
      <c r="BN1660" s="4"/>
      <c r="BO1660" s="4"/>
      <c r="BP1660" s="4"/>
      <c r="BQ1660" s="4"/>
      <c r="BR1660" s="4"/>
      <c r="BS1660" s="4"/>
      <c r="BT1660" s="4"/>
      <c r="BU1660" s="4"/>
      <c r="BV1660" s="4"/>
      <c r="BW1660" s="4"/>
      <c r="BX1660" s="4"/>
      <c r="BY1660" s="4"/>
      <c r="BZ1660" s="4"/>
      <c r="CA1660" s="4"/>
      <c r="CB1660" s="4"/>
      <c r="CC1660" s="4"/>
      <c r="CD1660" s="4"/>
      <c r="CE1660" s="4"/>
      <c r="CF1660" s="4"/>
      <c r="CG1660" s="4"/>
      <c r="CH1660" s="4"/>
      <c r="CI1660" s="4"/>
      <c r="CJ1660" s="4"/>
      <c r="CK1660" s="4"/>
      <c r="CL1660" s="4"/>
      <c r="CM1660" s="4"/>
      <c r="CN1660" s="4"/>
      <c r="CO1660" s="4"/>
      <c r="CP1660" s="4"/>
      <c r="CQ1660" s="4"/>
      <c r="CR1660" s="4"/>
      <c r="CS1660" s="4"/>
      <c r="CT1660" s="4"/>
      <c r="CU1660" s="4"/>
      <c r="CV1660" s="4"/>
      <c r="CW1660" s="4"/>
      <c r="CX1660" s="4"/>
      <c r="CY1660" s="4"/>
      <c r="CZ1660" s="4"/>
      <c r="DA1660" s="4"/>
      <c r="DB1660" s="4"/>
      <c r="DC1660" s="4"/>
      <c r="DD1660" s="4"/>
      <c r="DE1660" s="4"/>
      <c r="DF1660" s="4"/>
      <c r="DG1660" s="4"/>
      <c r="DH1660" s="4"/>
      <c r="DI1660" s="4"/>
      <c r="DJ1660" s="4"/>
      <c r="DK1660" s="4"/>
      <c r="DL1660" s="4"/>
      <c r="DM1660" s="4"/>
      <c r="DN1660" s="4"/>
      <c r="DO1660" s="4"/>
      <c r="DP1660" s="4"/>
      <c r="DQ1660" s="4"/>
      <c r="DR1660" s="4"/>
    </row>
    <row r="1661" spans="1:122" s="11" customFormat="1" x14ac:dyDescent="0.25">
      <c r="A1661" s="5" t="s">
        <v>15</v>
      </c>
      <c r="B1661" s="5" t="str">
        <f>"FES1162769910"</f>
        <v>FES1162769910</v>
      </c>
      <c r="C1661" s="5" t="s">
        <v>1190</v>
      </c>
      <c r="D1661" s="5">
        <v>1</v>
      </c>
      <c r="E1661" s="5" t="str">
        <f>"2170757213"</f>
        <v>2170757213</v>
      </c>
      <c r="F1661" s="5" t="s">
        <v>17</v>
      </c>
      <c r="G1661" s="5" t="s">
        <v>18</v>
      </c>
      <c r="H1661" s="5" t="s">
        <v>19</v>
      </c>
      <c r="I1661" s="5" t="s">
        <v>111</v>
      </c>
      <c r="J1661" s="5" t="s">
        <v>1227</v>
      </c>
      <c r="K1661" s="5" t="s">
        <v>1266</v>
      </c>
      <c r="L1661" s="9">
        <v>0.5</v>
      </c>
      <c r="M1661" s="5" t="s">
        <v>1816</v>
      </c>
      <c r="N1661" s="5" t="s">
        <v>500</v>
      </c>
      <c r="O1661" s="5"/>
      <c r="P1661" s="4"/>
      <c r="Q1661" s="4"/>
      <c r="R1661" s="4"/>
      <c r="S1661" s="4"/>
      <c r="T1661" s="4"/>
      <c r="U1661" s="4"/>
      <c r="V1661" s="4"/>
      <c r="W1661" s="4"/>
      <c r="X1661" s="4"/>
      <c r="Y1661" s="4"/>
      <c r="Z1661" s="4"/>
      <c r="AA1661" s="4"/>
      <c r="AB1661" s="4"/>
      <c r="AC1661" s="4"/>
      <c r="AD1661" s="4"/>
      <c r="AE1661" s="4"/>
      <c r="AF1661" s="4"/>
      <c r="AG1661" s="4"/>
      <c r="AH1661" s="4"/>
      <c r="AI1661" s="4"/>
      <c r="AJ1661" s="4"/>
      <c r="AK1661" s="4"/>
      <c r="AL1661" s="4"/>
      <c r="AM1661" s="4"/>
      <c r="AN1661" s="4"/>
      <c r="AO1661" s="4"/>
      <c r="AP1661" s="4"/>
      <c r="AQ1661" s="4"/>
      <c r="AR1661" s="4"/>
      <c r="AS1661" s="4"/>
      <c r="AT1661" s="4"/>
      <c r="AU1661" s="4"/>
      <c r="AV1661" s="4"/>
      <c r="AW1661" s="4"/>
      <c r="AX1661" s="4"/>
      <c r="AY1661" s="4"/>
      <c r="AZ1661" s="4"/>
      <c r="BA1661" s="4"/>
      <c r="BB1661" s="4"/>
      <c r="BC1661" s="4"/>
      <c r="BD1661" s="4"/>
      <c r="BE1661" s="4"/>
      <c r="BF1661" s="4"/>
      <c r="BG1661" s="4"/>
      <c r="BH1661" s="4"/>
      <c r="BI1661" s="4"/>
      <c r="BJ1661" s="4"/>
      <c r="BK1661" s="4"/>
      <c r="BL1661" s="4"/>
      <c r="BM1661" s="4"/>
      <c r="BN1661" s="4"/>
      <c r="BO1661" s="4"/>
      <c r="BP1661" s="4"/>
      <c r="BQ1661" s="4"/>
      <c r="BR1661" s="4"/>
      <c r="BS1661" s="4"/>
      <c r="BT1661" s="4"/>
      <c r="BU1661" s="4"/>
      <c r="BV1661" s="4"/>
      <c r="BW1661" s="4"/>
      <c r="BX1661" s="4"/>
      <c r="BY1661" s="4"/>
      <c r="BZ1661" s="4"/>
      <c r="CA1661" s="4"/>
      <c r="CB1661" s="4"/>
      <c r="CC1661" s="4"/>
      <c r="CD1661" s="4"/>
      <c r="CE1661" s="4"/>
      <c r="CF1661" s="4"/>
      <c r="CG1661" s="4"/>
      <c r="CH1661" s="4"/>
      <c r="CI1661" s="4"/>
      <c r="CJ1661" s="4"/>
      <c r="CK1661" s="4"/>
      <c r="CL1661" s="4"/>
      <c r="CM1661" s="4"/>
      <c r="CN1661" s="4"/>
      <c r="CO1661" s="4"/>
      <c r="CP1661" s="4"/>
      <c r="CQ1661" s="4"/>
      <c r="CR1661" s="4"/>
      <c r="CS1661" s="4"/>
      <c r="CT1661" s="4"/>
      <c r="CU1661" s="4"/>
      <c r="CV1661" s="4"/>
      <c r="CW1661" s="4"/>
      <c r="CX1661" s="4"/>
      <c r="CY1661" s="4"/>
      <c r="CZ1661" s="4"/>
      <c r="DA1661" s="4"/>
      <c r="DB1661" s="4"/>
      <c r="DC1661" s="4"/>
      <c r="DD1661" s="4"/>
      <c r="DE1661" s="4"/>
      <c r="DF1661" s="4"/>
      <c r="DG1661" s="4"/>
      <c r="DH1661" s="4"/>
      <c r="DI1661" s="4"/>
      <c r="DJ1661" s="4"/>
      <c r="DK1661" s="4"/>
      <c r="DL1661" s="4"/>
      <c r="DM1661" s="4"/>
      <c r="DN1661" s="4"/>
      <c r="DO1661" s="4"/>
      <c r="DP1661" s="4"/>
      <c r="DQ1661" s="4"/>
      <c r="DR1661" s="4"/>
    </row>
    <row r="1662" spans="1:122" x14ac:dyDescent="0.25">
      <c r="A1662" s="2" t="s">
        <v>15</v>
      </c>
      <c r="B1662" s="2" t="str">
        <f>"FES1162769771"</f>
        <v>FES1162769771</v>
      </c>
      <c r="C1662" s="2" t="s">
        <v>1190</v>
      </c>
      <c r="D1662" s="2">
        <v>1</v>
      </c>
      <c r="E1662" s="2" t="str">
        <f>"2170756995"</f>
        <v>2170756995</v>
      </c>
      <c r="F1662" s="2" t="s">
        <v>17</v>
      </c>
      <c r="G1662" s="2" t="s">
        <v>18</v>
      </c>
      <c r="H1662" s="2" t="s">
        <v>18</v>
      </c>
      <c r="I1662" s="2" t="s">
        <v>82</v>
      </c>
      <c r="J1662" s="2" t="s">
        <v>83</v>
      </c>
      <c r="K1662" s="2" t="s">
        <v>1266</v>
      </c>
      <c r="L1662" s="3">
        <v>0.35069444444444442</v>
      </c>
      <c r="M1662" s="2" t="s">
        <v>1367</v>
      </c>
      <c r="N1662" s="2" t="s">
        <v>500</v>
      </c>
      <c r="O1662" s="2"/>
      <c r="P1662" s="4"/>
      <c r="Q1662" s="4"/>
      <c r="R1662" s="4"/>
      <c r="S1662" s="4"/>
      <c r="T1662" s="4"/>
      <c r="U1662" s="4"/>
      <c r="V1662" s="4"/>
      <c r="W1662" s="4"/>
      <c r="X1662" s="4"/>
      <c r="Y1662" s="4"/>
      <c r="Z1662" s="4"/>
      <c r="AA1662" s="4"/>
      <c r="AB1662" s="4"/>
      <c r="AC1662" s="4"/>
      <c r="AD1662" s="4"/>
      <c r="AE1662" s="4"/>
      <c r="AF1662" s="4"/>
      <c r="AG1662" s="4"/>
      <c r="AH1662" s="4"/>
      <c r="AI1662" s="4"/>
      <c r="AJ1662" s="4"/>
      <c r="AK1662" s="4"/>
      <c r="AL1662" s="4"/>
      <c r="AM1662" s="4"/>
      <c r="AN1662" s="4"/>
      <c r="AO1662" s="4"/>
      <c r="AP1662" s="4"/>
      <c r="AQ1662" s="4"/>
      <c r="AR1662" s="4"/>
      <c r="AS1662" s="4"/>
      <c r="AT1662" s="4"/>
      <c r="AU1662" s="4"/>
      <c r="AV1662" s="4"/>
      <c r="AW1662" s="4"/>
      <c r="AX1662" s="4"/>
      <c r="AY1662" s="4"/>
      <c r="AZ1662" s="4"/>
      <c r="BA1662" s="4"/>
      <c r="BB1662" s="4"/>
      <c r="BC1662" s="4"/>
      <c r="BD1662" s="4"/>
      <c r="BE1662" s="4"/>
      <c r="BF1662" s="4"/>
      <c r="BG1662" s="4"/>
      <c r="BH1662" s="4"/>
      <c r="BI1662" s="4"/>
      <c r="BJ1662" s="4"/>
      <c r="BK1662" s="4"/>
      <c r="BL1662" s="4"/>
      <c r="BM1662" s="4"/>
      <c r="BN1662" s="4"/>
      <c r="BO1662" s="4"/>
      <c r="BP1662" s="4"/>
      <c r="BQ1662" s="4"/>
      <c r="BR1662" s="4"/>
      <c r="BS1662" s="4"/>
      <c r="BT1662" s="4"/>
      <c r="BU1662" s="4"/>
      <c r="BV1662" s="4"/>
      <c r="BW1662" s="4"/>
      <c r="BX1662" s="4"/>
      <c r="BY1662" s="4"/>
      <c r="BZ1662" s="4"/>
      <c r="CA1662" s="4"/>
      <c r="CB1662" s="4"/>
      <c r="CC1662" s="4"/>
      <c r="CD1662" s="4"/>
      <c r="CE1662" s="4"/>
      <c r="CF1662" s="4"/>
      <c r="CG1662" s="4"/>
      <c r="CH1662" s="4"/>
      <c r="CI1662" s="4"/>
      <c r="CJ1662" s="4"/>
      <c r="CK1662" s="4"/>
      <c r="CL1662" s="4"/>
      <c r="CM1662" s="4"/>
      <c r="CN1662" s="4"/>
      <c r="CO1662" s="4"/>
      <c r="CP1662" s="4"/>
      <c r="CQ1662" s="4"/>
      <c r="CR1662" s="4"/>
      <c r="CS1662" s="4"/>
      <c r="CT1662" s="4"/>
      <c r="CU1662" s="4"/>
      <c r="CV1662" s="4"/>
      <c r="CW1662" s="4"/>
      <c r="CX1662" s="4"/>
      <c r="CY1662" s="4"/>
      <c r="CZ1662" s="4"/>
      <c r="DA1662" s="4"/>
      <c r="DB1662" s="4"/>
      <c r="DC1662" s="4"/>
      <c r="DD1662" s="4"/>
      <c r="DE1662" s="4"/>
      <c r="DF1662" s="4"/>
      <c r="DG1662" s="4"/>
      <c r="DH1662" s="4"/>
      <c r="DI1662" s="4"/>
      <c r="DJ1662" s="4"/>
      <c r="DK1662" s="4"/>
      <c r="DL1662" s="4"/>
      <c r="DM1662" s="4"/>
      <c r="DN1662" s="4"/>
      <c r="DO1662" s="4"/>
      <c r="DP1662" s="4"/>
      <c r="DQ1662" s="4"/>
      <c r="DR1662" s="4"/>
    </row>
    <row r="1663" spans="1:122" x14ac:dyDescent="0.25">
      <c r="A1663" s="2" t="s">
        <v>15</v>
      </c>
      <c r="B1663" s="2" t="str">
        <f>"FES1162769767"</f>
        <v>FES1162769767</v>
      </c>
      <c r="C1663" s="2" t="s">
        <v>1190</v>
      </c>
      <c r="D1663" s="2">
        <v>1</v>
      </c>
      <c r="E1663" s="2" t="str">
        <f>"21707556989"</f>
        <v>21707556989</v>
      </c>
      <c r="F1663" s="2" t="s">
        <v>17</v>
      </c>
      <c r="G1663" s="2" t="s">
        <v>18</v>
      </c>
      <c r="H1663" s="2" t="s">
        <v>25</v>
      </c>
      <c r="I1663" s="2" t="s">
        <v>26</v>
      </c>
      <c r="J1663" s="2" t="s">
        <v>654</v>
      </c>
      <c r="K1663" s="2" t="s">
        <v>1353</v>
      </c>
      <c r="L1663" s="3">
        <v>0.34722222222222227</v>
      </c>
      <c r="M1663" s="2" t="s">
        <v>1463</v>
      </c>
      <c r="N1663" s="2" t="s">
        <v>500</v>
      </c>
      <c r="O1663" s="2"/>
      <c r="P1663" s="4"/>
      <c r="Q1663" s="4"/>
      <c r="R1663" s="4"/>
      <c r="S1663" s="4"/>
      <c r="T1663" s="4"/>
      <c r="U1663" s="4"/>
      <c r="V1663" s="4"/>
      <c r="W1663" s="4"/>
      <c r="X1663" s="4"/>
      <c r="Y1663" s="4"/>
      <c r="Z1663" s="4"/>
      <c r="AA1663" s="4"/>
      <c r="AB1663" s="4"/>
      <c r="AC1663" s="4"/>
      <c r="AD1663" s="4"/>
      <c r="AE1663" s="4"/>
      <c r="AF1663" s="4"/>
      <c r="AG1663" s="4"/>
      <c r="AH1663" s="4"/>
      <c r="AI1663" s="4"/>
      <c r="AJ1663" s="4"/>
      <c r="AK1663" s="4"/>
      <c r="AL1663" s="4"/>
      <c r="AM1663" s="4"/>
      <c r="AN1663" s="4"/>
      <c r="AO1663" s="4"/>
      <c r="AP1663" s="4"/>
      <c r="AQ1663" s="4"/>
      <c r="AR1663" s="4"/>
      <c r="AS1663" s="4"/>
      <c r="AT1663" s="4"/>
      <c r="AU1663" s="4"/>
      <c r="AV1663" s="4"/>
      <c r="AW1663" s="4"/>
      <c r="AX1663" s="4"/>
      <c r="AY1663" s="4"/>
      <c r="AZ1663" s="4"/>
      <c r="BA1663" s="4"/>
      <c r="BB1663" s="4"/>
      <c r="BC1663" s="4"/>
      <c r="BD1663" s="4"/>
      <c r="BE1663" s="4"/>
      <c r="BF1663" s="4"/>
      <c r="BG1663" s="4"/>
      <c r="BH1663" s="4"/>
      <c r="BI1663" s="4"/>
      <c r="BJ1663" s="4"/>
      <c r="BK1663" s="4"/>
      <c r="BL1663" s="4"/>
      <c r="BM1663" s="4"/>
      <c r="BN1663" s="4"/>
      <c r="BO1663" s="4"/>
      <c r="BP1663" s="4"/>
      <c r="BQ1663" s="4"/>
      <c r="BR1663" s="4"/>
      <c r="BS1663" s="4"/>
      <c r="BT1663" s="4"/>
      <c r="BU1663" s="4"/>
      <c r="BV1663" s="4"/>
      <c r="BW1663" s="4"/>
      <c r="BX1663" s="4"/>
      <c r="BY1663" s="4"/>
      <c r="BZ1663" s="4"/>
      <c r="CA1663" s="4"/>
      <c r="CB1663" s="4"/>
      <c r="CC1663" s="4"/>
      <c r="CD1663" s="4"/>
      <c r="CE1663" s="4"/>
      <c r="CF1663" s="4"/>
      <c r="CG1663" s="4"/>
      <c r="CH1663" s="4"/>
      <c r="CI1663" s="4"/>
      <c r="CJ1663" s="4"/>
      <c r="CK1663" s="4"/>
      <c r="CL1663" s="4"/>
      <c r="CM1663" s="4"/>
      <c r="CN1663" s="4"/>
      <c r="CO1663" s="4"/>
      <c r="CP1663" s="4"/>
      <c r="CQ1663" s="4"/>
      <c r="CR1663" s="4"/>
      <c r="CS1663" s="4"/>
      <c r="CT1663" s="4"/>
      <c r="CU1663" s="4"/>
      <c r="CV1663" s="4"/>
      <c r="CW1663" s="4"/>
      <c r="CX1663" s="4"/>
      <c r="CY1663" s="4"/>
      <c r="CZ1663" s="4"/>
      <c r="DA1663" s="4"/>
      <c r="DB1663" s="4"/>
      <c r="DC1663" s="4"/>
      <c r="DD1663" s="4"/>
      <c r="DE1663" s="4"/>
      <c r="DF1663" s="4"/>
      <c r="DG1663" s="4"/>
      <c r="DH1663" s="4"/>
      <c r="DI1663" s="4"/>
      <c r="DJ1663" s="4"/>
      <c r="DK1663" s="4"/>
      <c r="DL1663" s="4"/>
      <c r="DM1663" s="4"/>
      <c r="DN1663" s="4"/>
      <c r="DO1663" s="4"/>
      <c r="DP1663" s="4"/>
      <c r="DQ1663" s="4"/>
      <c r="DR1663" s="4"/>
    </row>
    <row r="1664" spans="1:122" x14ac:dyDescent="0.25">
      <c r="A1664" s="2" t="s">
        <v>15</v>
      </c>
      <c r="B1664" s="2" t="str">
        <f>"FES1162769876"</f>
        <v>FES1162769876</v>
      </c>
      <c r="C1664" s="2" t="s">
        <v>1190</v>
      </c>
      <c r="D1664" s="2">
        <v>1</v>
      </c>
      <c r="E1664" s="2" t="str">
        <f>"2170756976"</f>
        <v>2170756976</v>
      </c>
      <c r="F1664" s="2" t="s">
        <v>17</v>
      </c>
      <c r="G1664" s="2" t="s">
        <v>18</v>
      </c>
      <c r="H1664" s="2" t="s">
        <v>18</v>
      </c>
      <c r="I1664" s="2" t="s">
        <v>63</v>
      </c>
      <c r="J1664" s="2" t="s">
        <v>1287</v>
      </c>
      <c r="K1664" s="2" t="s">
        <v>1266</v>
      </c>
      <c r="L1664" s="3">
        <v>0.40069444444444446</v>
      </c>
      <c r="M1664" s="2" t="s">
        <v>1339</v>
      </c>
      <c r="N1664" s="2" t="s">
        <v>500</v>
      </c>
      <c r="O1664" s="2"/>
      <c r="P1664" s="4"/>
      <c r="Q1664" s="4"/>
      <c r="R1664" s="4"/>
      <c r="S1664" s="4"/>
      <c r="T1664" s="4"/>
      <c r="U1664" s="4"/>
      <c r="V1664" s="4"/>
      <c r="W1664" s="4"/>
      <c r="X1664" s="4"/>
      <c r="Y1664" s="4"/>
      <c r="Z1664" s="4"/>
      <c r="AA1664" s="4"/>
      <c r="AB1664" s="4"/>
      <c r="AC1664" s="4"/>
      <c r="AD1664" s="4"/>
      <c r="AE1664" s="4"/>
      <c r="AF1664" s="4"/>
      <c r="AG1664" s="4"/>
      <c r="AH1664" s="4"/>
      <c r="AI1664" s="4"/>
      <c r="AJ1664" s="4"/>
      <c r="AK1664" s="4"/>
      <c r="AL1664" s="4"/>
      <c r="AM1664" s="4"/>
      <c r="AN1664" s="4"/>
      <c r="AO1664" s="4"/>
      <c r="AP1664" s="4"/>
      <c r="AQ1664" s="4"/>
      <c r="AR1664" s="4"/>
      <c r="AS1664" s="4"/>
      <c r="AT1664" s="4"/>
      <c r="AU1664" s="4"/>
      <c r="AV1664" s="4"/>
      <c r="AW1664" s="4"/>
      <c r="AX1664" s="4"/>
      <c r="AY1664" s="4"/>
      <c r="AZ1664" s="4"/>
      <c r="BA1664" s="4"/>
      <c r="BB1664" s="4"/>
      <c r="BC1664" s="4"/>
      <c r="BD1664" s="4"/>
      <c r="BE1664" s="4"/>
      <c r="BF1664" s="4"/>
      <c r="BG1664" s="4"/>
      <c r="BH1664" s="4"/>
      <c r="BI1664" s="4"/>
      <c r="BJ1664" s="4"/>
      <c r="BK1664" s="4"/>
      <c r="BL1664" s="4"/>
      <c r="BM1664" s="4"/>
      <c r="BN1664" s="4"/>
      <c r="BO1664" s="4"/>
      <c r="BP1664" s="4"/>
      <c r="BQ1664" s="4"/>
      <c r="BR1664" s="4"/>
      <c r="BS1664" s="4"/>
      <c r="BT1664" s="4"/>
      <c r="BU1664" s="4"/>
      <c r="BV1664" s="4"/>
      <c r="BW1664" s="4"/>
      <c r="BX1664" s="4"/>
      <c r="BY1664" s="4"/>
      <c r="BZ1664" s="4"/>
      <c r="CA1664" s="4"/>
      <c r="CB1664" s="4"/>
      <c r="CC1664" s="4"/>
      <c r="CD1664" s="4"/>
      <c r="CE1664" s="4"/>
      <c r="CF1664" s="4"/>
      <c r="CG1664" s="4"/>
      <c r="CH1664" s="4"/>
      <c r="CI1664" s="4"/>
      <c r="CJ1664" s="4"/>
      <c r="CK1664" s="4"/>
      <c r="CL1664" s="4"/>
      <c r="CM1664" s="4"/>
      <c r="CN1664" s="4"/>
      <c r="CO1664" s="4"/>
      <c r="CP1664" s="4"/>
      <c r="CQ1664" s="4"/>
      <c r="CR1664" s="4"/>
      <c r="CS1664" s="4"/>
      <c r="CT1664" s="4"/>
      <c r="CU1664" s="4"/>
      <c r="CV1664" s="4"/>
      <c r="CW1664" s="4"/>
      <c r="CX1664" s="4"/>
      <c r="CY1664" s="4"/>
      <c r="CZ1664" s="4"/>
      <c r="DA1664" s="4"/>
      <c r="DB1664" s="4"/>
      <c r="DC1664" s="4"/>
      <c r="DD1664" s="4"/>
      <c r="DE1664" s="4"/>
      <c r="DF1664" s="4"/>
      <c r="DG1664" s="4"/>
      <c r="DH1664" s="4"/>
      <c r="DI1664" s="4"/>
      <c r="DJ1664" s="4"/>
      <c r="DK1664" s="4"/>
      <c r="DL1664" s="4"/>
      <c r="DM1664" s="4"/>
      <c r="DN1664" s="4"/>
      <c r="DO1664" s="4"/>
      <c r="DP1664" s="4"/>
      <c r="DQ1664" s="4"/>
      <c r="DR1664" s="4"/>
    </row>
    <row r="1665" spans="1:122" x14ac:dyDescent="0.25">
      <c r="A1665" s="2" t="s">
        <v>15</v>
      </c>
      <c r="B1665" s="2" t="str">
        <f>"FES1162769667"</f>
        <v>FES1162769667</v>
      </c>
      <c r="C1665" s="2" t="s">
        <v>1190</v>
      </c>
      <c r="D1665" s="2">
        <v>1</v>
      </c>
      <c r="E1665" s="2" t="str">
        <f>"2170756770"</f>
        <v>2170756770</v>
      </c>
      <c r="F1665" s="2" t="s">
        <v>17</v>
      </c>
      <c r="G1665" s="2" t="s">
        <v>18</v>
      </c>
      <c r="H1665" s="2" t="s">
        <v>18</v>
      </c>
      <c r="I1665" s="2" t="s">
        <v>50</v>
      </c>
      <c r="J1665" s="2" t="s">
        <v>285</v>
      </c>
      <c r="K1665" s="2" t="s">
        <v>1266</v>
      </c>
      <c r="L1665" s="3">
        <v>0.3576388888888889</v>
      </c>
      <c r="M1665" s="2" t="s">
        <v>808</v>
      </c>
      <c r="N1665" s="2" t="s">
        <v>500</v>
      </c>
      <c r="O1665" s="2"/>
      <c r="P1665" s="4"/>
      <c r="Q1665" s="4"/>
      <c r="R1665" s="4"/>
      <c r="S1665" s="4"/>
      <c r="T1665" s="4"/>
      <c r="U1665" s="4"/>
      <c r="V1665" s="4"/>
      <c r="W1665" s="4"/>
      <c r="X1665" s="4"/>
      <c r="Y1665" s="4"/>
      <c r="Z1665" s="4"/>
      <c r="AA1665" s="4"/>
      <c r="AB1665" s="4"/>
      <c r="AC1665" s="4"/>
      <c r="AD1665" s="4"/>
      <c r="AE1665" s="4"/>
      <c r="AF1665" s="4"/>
      <c r="AG1665" s="4"/>
      <c r="AH1665" s="4"/>
      <c r="AI1665" s="4"/>
      <c r="AJ1665" s="4"/>
      <c r="AK1665" s="4"/>
      <c r="AL1665" s="4"/>
      <c r="AM1665" s="4"/>
      <c r="AN1665" s="4"/>
      <c r="AO1665" s="4"/>
      <c r="AP1665" s="4"/>
      <c r="AQ1665" s="4"/>
      <c r="AR1665" s="4"/>
      <c r="AS1665" s="4"/>
      <c r="AT1665" s="4"/>
      <c r="AU1665" s="4"/>
      <c r="AV1665" s="4"/>
      <c r="AW1665" s="4"/>
      <c r="AX1665" s="4"/>
      <c r="AY1665" s="4"/>
      <c r="AZ1665" s="4"/>
      <c r="BA1665" s="4"/>
      <c r="BB1665" s="4"/>
      <c r="BC1665" s="4"/>
      <c r="BD1665" s="4"/>
      <c r="BE1665" s="4"/>
      <c r="BF1665" s="4"/>
      <c r="BG1665" s="4"/>
      <c r="BH1665" s="4"/>
      <c r="BI1665" s="4"/>
      <c r="BJ1665" s="4"/>
      <c r="BK1665" s="4"/>
      <c r="BL1665" s="4"/>
      <c r="BM1665" s="4"/>
      <c r="BN1665" s="4"/>
      <c r="BO1665" s="4"/>
      <c r="BP1665" s="4"/>
      <c r="BQ1665" s="4"/>
      <c r="BR1665" s="4"/>
      <c r="BS1665" s="4"/>
      <c r="BT1665" s="4"/>
      <c r="BU1665" s="4"/>
      <c r="BV1665" s="4"/>
      <c r="BW1665" s="4"/>
      <c r="BX1665" s="4"/>
      <c r="BY1665" s="4"/>
      <c r="BZ1665" s="4"/>
      <c r="CA1665" s="4"/>
      <c r="CB1665" s="4"/>
      <c r="CC1665" s="4"/>
      <c r="CD1665" s="4"/>
      <c r="CE1665" s="4"/>
      <c r="CF1665" s="4"/>
      <c r="CG1665" s="4"/>
      <c r="CH1665" s="4"/>
      <c r="CI1665" s="4"/>
      <c r="CJ1665" s="4"/>
      <c r="CK1665" s="4"/>
      <c r="CL1665" s="4"/>
      <c r="CM1665" s="4"/>
      <c r="CN1665" s="4"/>
      <c r="CO1665" s="4"/>
      <c r="CP1665" s="4"/>
      <c r="CQ1665" s="4"/>
      <c r="CR1665" s="4"/>
      <c r="CS1665" s="4"/>
      <c r="CT1665" s="4"/>
      <c r="CU1665" s="4"/>
      <c r="CV1665" s="4"/>
      <c r="CW1665" s="4"/>
      <c r="CX1665" s="4"/>
      <c r="CY1665" s="4"/>
      <c r="CZ1665" s="4"/>
      <c r="DA1665" s="4"/>
      <c r="DB1665" s="4"/>
      <c r="DC1665" s="4"/>
      <c r="DD1665" s="4"/>
      <c r="DE1665" s="4"/>
      <c r="DF1665" s="4"/>
      <c r="DG1665" s="4"/>
      <c r="DH1665" s="4"/>
      <c r="DI1665" s="4"/>
      <c r="DJ1665" s="4"/>
      <c r="DK1665" s="4"/>
      <c r="DL1665" s="4"/>
      <c r="DM1665" s="4"/>
      <c r="DN1665" s="4"/>
      <c r="DO1665" s="4"/>
      <c r="DP1665" s="4"/>
      <c r="DQ1665" s="4"/>
      <c r="DR1665" s="4"/>
    </row>
    <row r="1666" spans="1:122" x14ac:dyDescent="0.25">
      <c r="A1666" s="2" t="s">
        <v>15</v>
      </c>
      <c r="B1666" s="2" t="str">
        <f>"FES1162769992"</f>
        <v>FES1162769992</v>
      </c>
      <c r="C1666" s="2" t="s">
        <v>1190</v>
      </c>
      <c r="D1666" s="2">
        <v>1</v>
      </c>
      <c r="E1666" s="2" t="str">
        <f>"2170756562"</f>
        <v>2170756562</v>
      </c>
      <c r="F1666" s="2" t="s">
        <v>17</v>
      </c>
      <c r="G1666" s="2" t="s">
        <v>18</v>
      </c>
      <c r="H1666" s="2" t="s">
        <v>25</v>
      </c>
      <c r="I1666" s="2" t="s">
        <v>26</v>
      </c>
      <c r="J1666" s="2" t="s">
        <v>623</v>
      </c>
      <c r="K1666" s="2" t="s">
        <v>1266</v>
      </c>
      <c r="L1666" s="3">
        <v>0.4055555555555555</v>
      </c>
      <c r="M1666" s="2" t="s">
        <v>1368</v>
      </c>
      <c r="N1666" s="2" t="s">
        <v>500</v>
      </c>
      <c r="O1666" s="2"/>
      <c r="P1666" s="4"/>
      <c r="Q1666" s="4"/>
      <c r="R1666" s="4"/>
      <c r="S1666" s="4"/>
      <c r="T1666" s="4"/>
      <c r="U1666" s="4"/>
      <c r="V1666" s="4"/>
      <c r="W1666" s="4"/>
      <c r="X1666" s="4"/>
      <c r="Y1666" s="4"/>
      <c r="Z1666" s="4"/>
      <c r="AA1666" s="4"/>
      <c r="AB1666" s="4"/>
      <c r="AC1666" s="4"/>
      <c r="AD1666" s="4"/>
      <c r="AE1666" s="4"/>
      <c r="AF1666" s="4"/>
      <c r="AG1666" s="4"/>
      <c r="AH1666" s="4"/>
      <c r="AI1666" s="4"/>
      <c r="AJ1666" s="4"/>
      <c r="AK1666" s="4"/>
      <c r="AL1666" s="4"/>
      <c r="AM1666" s="4"/>
      <c r="AN1666" s="4"/>
      <c r="AO1666" s="4"/>
      <c r="AP1666" s="4"/>
      <c r="AQ1666" s="4"/>
      <c r="AR1666" s="4"/>
      <c r="AS1666" s="4"/>
      <c r="AT1666" s="4"/>
      <c r="AU1666" s="4"/>
      <c r="AV1666" s="4"/>
      <c r="AW1666" s="4"/>
      <c r="AX1666" s="4"/>
      <c r="AY1666" s="4"/>
      <c r="AZ1666" s="4"/>
      <c r="BA1666" s="4"/>
      <c r="BB1666" s="4"/>
      <c r="BC1666" s="4"/>
      <c r="BD1666" s="4"/>
      <c r="BE1666" s="4"/>
      <c r="BF1666" s="4"/>
      <c r="BG1666" s="4"/>
      <c r="BH1666" s="4"/>
      <c r="BI1666" s="4"/>
      <c r="BJ1666" s="4"/>
      <c r="BK1666" s="4"/>
      <c r="BL1666" s="4"/>
      <c r="BM1666" s="4"/>
      <c r="BN1666" s="4"/>
      <c r="BO1666" s="4"/>
      <c r="BP1666" s="4"/>
      <c r="BQ1666" s="4"/>
      <c r="BR1666" s="4"/>
      <c r="BS1666" s="4"/>
      <c r="BT1666" s="4"/>
      <c r="BU1666" s="4"/>
      <c r="BV1666" s="4"/>
      <c r="BW1666" s="4"/>
      <c r="BX1666" s="4"/>
      <c r="BY1666" s="4"/>
      <c r="BZ1666" s="4"/>
      <c r="CA1666" s="4"/>
      <c r="CB1666" s="4"/>
      <c r="CC1666" s="4"/>
      <c r="CD1666" s="4"/>
      <c r="CE1666" s="4"/>
      <c r="CF1666" s="4"/>
      <c r="CG1666" s="4"/>
      <c r="CH1666" s="4"/>
      <c r="CI1666" s="4"/>
      <c r="CJ1666" s="4"/>
      <c r="CK1666" s="4"/>
      <c r="CL1666" s="4"/>
      <c r="CM1666" s="4"/>
      <c r="CN1666" s="4"/>
      <c r="CO1666" s="4"/>
      <c r="CP1666" s="4"/>
      <c r="CQ1666" s="4"/>
      <c r="CR1666" s="4"/>
      <c r="CS1666" s="4"/>
      <c r="CT1666" s="4"/>
      <c r="CU1666" s="4"/>
      <c r="CV1666" s="4"/>
      <c r="CW1666" s="4"/>
      <c r="CX1666" s="4"/>
      <c r="CY1666" s="4"/>
      <c r="CZ1666" s="4"/>
      <c r="DA1666" s="4"/>
      <c r="DB1666" s="4"/>
      <c r="DC1666" s="4"/>
      <c r="DD1666" s="4"/>
      <c r="DE1666" s="4"/>
      <c r="DF1666" s="4"/>
      <c r="DG1666" s="4"/>
      <c r="DH1666" s="4"/>
      <c r="DI1666" s="4"/>
      <c r="DJ1666" s="4"/>
      <c r="DK1666" s="4"/>
      <c r="DL1666" s="4"/>
      <c r="DM1666" s="4"/>
      <c r="DN1666" s="4"/>
      <c r="DO1666" s="4"/>
      <c r="DP1666" s="4"/>
      <c r="DQ1666" s="4"/>
      <c r="DR1666" s="4"/>
    </row>
    <row r="1667" spans="1:122" x14ac:dyDescent="0.25">
      <c r="A1667" s="2" t="s">
        <v>15</v>
      </c>
      <c r="B1667" s="2" t="str">
        <f>"FES1162769725"</f>
        <v>FES1162769725</v>
      </c>
      <c r="C1667" s="2" t="s">
        <v>1190</v>
      </c>
      <c r="D1667" s="2">
        <v>1</v>
      </c>
      <c r="E1667" s="2" t="str">
        <f>"2170756888"</f>
        <v>2170756888</v>
      </c>
      <c r="F1667" s="2" t="s">
        <v>17</v>
      </c>
      <c r="G1667" s="2" t="s">
        <v>18</v>
      </c>
      <c r="H1667" s="2" t="s">
        <v>18</v>
      </c>
      <c r="I1667" s="2" t="s">
        <v>63</v>
      </c>
      <c r="J1667" s="2" t="s">
        <v>93</v>
      </c>
      <c r="K1667" s="2" t="s">
        <v>1266</v>
      </c>
      <c r="L1667" s="3">
        <v>0.35625000000000001</v>
      </c>
      <c r="M1667" s="2" t="s">
        <v>736</v>
      </c>
      <c r="N1667" s="2" t="s">
        <v>500</v>
      </c>
      <c r="O1667" s="2"/>
      <c r="P1667" s="4"/>
      <c r="Q1667" s="4"/>
      <c r="R1667" s="4"/>
      <c r="S1667" s="4"/>
      <c r="T1667" s="4"/>
      <c r="U1667" s="4"/>
      <c r="V1667" s="4"/>
      <c r="W1667" s="4"/>
      <c r="X1667" s="4"/>
      <c r="Y1667" s="4"/>
      <c r="Z1667" s="4"/>
      <c r="AA1667" s="4"/>
      <c r="AB1667" s="4"/>
      <c r="AC1667" s="4"/>
      <c r="AD1667" s="4"/>
      <c r="AE1667" s="4"/>
      <c r="AF1667" s="4"/>
      <c r="AG1667" s="4"/>
      <c r="AH1667" s="4"/>
      <c r="AI1667" s="4"/>
      <c r="AJ1667" s="4"/>
      <c r="AK1667" s="4"/>
      <c r="AL1667" s="4"/>
      <c r="AM1667" s="4"/>
      <c r="AN1667" s="4"/>
      <c r="AO1667" s="4"/>
      <c r="AP1667" s="4"/>
      <c r="AQ1667" s="4"/>
      <c r="AR1667" s="4"/>
      <c r="AS1667" s="4"/>
      <c r="AT1667" s="4"/>
      <c r="AU1667" s="4"/>
      <c r="AV1667" s="4"/>
      <c r="AW1667" s="4"/>
      <c r="AX1667" s="4"/>
      <c r="AY1667" s="4"/>
      <c r="AZ1667" s="4"/>
      <c r="BA1667" s="4"/>
      <c r="BB1667" s="4"/>
      <c r="BC1667" s="4"/>
      <c r="BD1667" s="4"/>
      <c r="BE1667" s="4"/>
      <c r="BF1667" s="4"/>
      <c r="BG1667" s="4"/>
      <c r="BH1667" s="4"/>
      <c r="BI1667" s="4"/>
      <c r="BJ1667" s="4"/>
      <c r="BK1667" s="4"/>
      <c r="BL1667" s="4"/>
      <c r="BM1667" s="4"/>
      <c r="BN1667" s="4"/>
      <c r="BO1667" s="4"/>
      <c r="BP1667" s="4"/>
      <c r="BQ1667" s="4"/>
      <c r="BR1667" s="4"/>
      <c r="BS1667" s="4"/>
      <c r="BT1667" s="4"/>
      <c r="BU1667" s="4"/>
      <c r="BV1667" s="4"/>
      <c r="BW1667" s="4"/>
      <c r="BX1667" s="4"/>
      <c r="BY1667" s="4"/>
      <c r="BZ1667" s="4"/>
      <c r="CA1667" s="4"/>
      <c r="CB1667" s="4"/>
      <c r="CC1667" s="4"/>
      <c r="CD1667" s="4"/>
      <c r="CE1667" s="4"/>
      <c r="CF1667" s="4"/>
      <c r="CG1667" s="4"/>
      <c r="CH1667" s="4"/>
      <c r="CI1667" s="4"/>
      <c r="CJ1667" s="4"/>
      <c r="CK1667" s="4"/>
      <c r="CL1667" s="4"/>
      <c r="CM1667" s="4"/>
      <c r="CN1667" s="4"/>
      <c r="CO1667" s="4"/>
      <c r="CP1667" s="4"/>
      <c r="CQ1667" s="4"/>
      <c r="CR1667" s="4"/>
      <c r="CS1667" s="4"/>
      <c r="CT1667" s="4"/>
      <c r="CU1667" s="4"/>
      <c r="CV1667" s="4"/>
      <c r="CW1667" s="4"/>
      <c r="CX1667" s="4"/>
      <c r="CY1667" s="4"/>
      <c r="CZ1667" s="4"/>
      <c r="DA1667" s="4"/>
      <c r="DB1667" s="4"/>
      <c r="DC1667" s="4"/>
      <c r="DD1667" s="4"/>
      <c r="DE1667" s="4"/>
      <c r="DF1667" s="4"/>
      <c r="DG1667" s="4"/>
      <c r="DH1667" s="4"/>
      <c r="DI1667" s="4"/>
      <c r="DJ1667" s="4"/>
      <c r="DK1667" s="4"/>
      <c r="DL1667" s="4"/>
      <c r="DM1667" s="4"/>
      <c r="DN1667" s="4"/>
      <c r="DO1667" s="4"/>
      <c r="DP1667" s="4"/>
      <c r="DQ1667" s="4"/>
      <c r="DR1667" s="4"/>
    </row>
    <row r="1668" spans="1:122" x14ac:dyDescent="0.25">
      <c r="A1668" s="2" t="s">
        <v>15</v>
      </c>
      <c r="B1668" s="2" t="str">
        <f>"FES1162769867"</f>
        <v>FES1162769867</v>
      </c>
      <c r="C1668" s="2" t="s">
        <v>1190</v>
      </c>
      <c r="D1668" s="2">
        <v>1</v>
      </c>
      <c r="E1668" s="2" t="str">
        <f>"2170757169"</f>
        <v>2170757169</v>
      </c>
      <c r="F1668" s="2" t="s">
        <v>17</v>
      </c>
      <c r="G1668" s="2" t="s">
        <v>18</v>
      </c>
      <c r="H1668" s="2" t="s">
        <v>78</v>
      </c>
      <c r="I1668" s="2" t="s">
        <v>79</v>
      </c>
      <c r="J1668" s="2" t="s">
        <v>1306</v>
      </c>
      <c r="K1668" s="2" t="s">
        <v>1266</v>
      </c>
      <c r="L1668" s="3">
        <v>0.46458333333333335</v>
      </c>
      <c r="M1668" s="2" t="s">
        <v>1369</v>
      </c>
      <c r="N1668" s="2" t="s">
        <v>500</v>
      </c>
      <c r="O1668" s="2"/>
      <c r="P1668" s="4"/>
      <c r="Q1668" s="4"/>
      <c r="R1668" s="4"/>
      <c r="S1668" s="4"/>
      <c r="T1668" s="4"/>
      <c r="U1668" s="4"/>
      <c r="V1668" s="4"/>
      <c r="W1668" s="4"/>
      <c r="X1668" s="4"/>
      <c r="Y1668" s="4"/>
      <c r="Z1668" s="4"/>
      <c r="AA1668" s="4"/>
      <c r="AB1668" s="4"/>
      <c r="AC1668" s="4"/>
      <c r="AD1668" s="4"/>
      <c r="AE1668" s="4"/>
      <c r="AF1668" s="4"/>
      <c r="AG1668" s="4"/>
      <c r="AH1668" s="4"/>
      <c r="AI1668" s="4"/>
      <c r="AJ1668" s="4"/>
      <c r="AK1668" s="4"/>
      <c r="AL1668" s="4"/>
      <c r="AM1668" s="4"/>
      <c r="AN1668" s="4"/>
      <c r="AO1668" s="4"/>
      <c r="AP1668" s="4"/>
      <c r="AQ1668" s="4"/>
      <c r="AR1668" s="4"/>
      <c r="AS1668" s="4"/>
      <c r="AT1668" s="4"/>
      <c r="AU1668" s="4"/>
      <c r="AV1668" s="4"/>
      <c r="AW1668" s="4"/>
      <c r="AX1668" s="4"/>
      <c r="AY1668" s="4"/>
      <c r="AZ1668" s="4"/>
      <c r="BA1668" s="4"/>
      <c r="BB1668" s="4"/>
      <c r="BC1668" s="4"/>
      <c r="BD1668" s="4"/>
      <c r="BE1668" s="4"/>
      <c r="BF1668" s="4"/>
      <c r="BG1668" s="4"/>
      <c r="BH1668" s="4"/>
      <c r="BI1668" s="4"/>
      <c r="BJ1668" s="4"/>
      <c r="BK1668" s="4"/>
      <c r="BL1668" s="4"/>
      <c r="BM1668" s="4"/>
      <c r="BN1668" s="4"/>
      <c r="BO1668" s="4"/>
      <c r="BP1668" s="4"/>
      <c r="BQ1668" s="4"/>
      <c r="BR1668" s="4"/>
      <c r="BS1668" s="4"/>
      <c r="BT1668" s="4"/>
      <c r="BU1668" s="4"/>
      <c r="BV1668" s="4"/>
      <c r="BW1668" s="4"/>
      <c r="BX1668" s="4"/>
      <c r="BY1668" s="4"/>
      <c r="BZ1668" s="4"/>
      <c r="CA1668" s="4"/>
      <c r="CB1668" s="4"/>
      <c r="CC1668" s="4"/>
      <c r="CD1668" s="4"/>
      <c r="CE1668" s="4"/>
      <c r="CF1668" s="4"/>
      <c r="CG1668" s="4"/>
      <c r="CH1668" s="4"/>
      <c r="CI1668" s="4"/>
      <c r="CJ1668" s="4"/>
      <c r="CK1668" s="4"/>
      <c r="CL1668" s="4"/>
      <c r="CM1668" s="4"/>
      <c r="CN1668" s="4"/>
      <c r="CO1668" s="4"/>
      <c r="CP1668" s="4"/>
      <c r="CQ1668" s="4"/>
      <c r="CR1668" s="4"/>
      <c r="CS1668" s="4"/>
      <c r="CT1668" s="4"/>
      <c r="CU1668" s="4"/>
      <c r="CV1668" s="4"/>
      <c r="CW1668" s="4"/>
      <c r="CX1668" s="4"/>
      <c r="CY1668" s="4"/>
      <c r="CZ1668" s="4"/>
      <c r="DA1668" s="4"/>
      <c r="DB1668" s="4"/>
      <c r="DC1668" s="4"/>
      <c r="DD1668" s="4"/>
      <c r="DE1668" s="4"/>
      <c r="DF1668" s="4"/>
      <c r="DG1668" s="4"/>
      <c r="DH1668" s="4"/>
      <c r="DI1668" s="4"/>
      <c r="DJ1668" s="4"/>
      <c r="DK1668" s="4"/>
      <c r="DL1668" s="4"/>
      <c r="DM1668" s="4"/>
      <c r="DN1668" s="4"/>
      <c r="DO1668" s="4"/>
      <c r="DP1668" s="4"/>
      <c r="DQ1668" s="4"/>
      <c r="DR1668" s="4"/>
    </row>
    <row r="1669" spans="1:122" x14ac:dyDescent="0.25">
      <c r="A1669" s="2" t="s">
        <v>15</v>
      </c>
      <c r="B1669" s="2" t="str">
        <f>"FES1162769987"</f>
        <v>FES1162769987</v>
      </c>
      <c r="C1669" s="2" t="s">
        <v>1190</v>
      </c>
      <c r="D1669" s="2">
        <v>1</v>
      </c>
      <c r="E1669" s="2" t="str">
        <f>"2170756209"</f>
        <v>2170756209</v>
      </c>
      <c r="F1669" s="2" t="s">
        <v>17</v>
      </c>
      <c r="G1669" s="2" t="s">
        <v>18</v>
      </c>
      <c r="H1669" s="2" t="s">
        <v>25</v>
      </c>
      <c r="I1669" s="2" t="s">
        <v>26</v>
      </c>
      <c r="J1669" s="2" t="s">
        <v>757</v>
      </c>
      <c r="K1669" s="2" t="s">
        <v>1266</v>
      </c>
      <c r="L1669" s="3">
        <v>0.30624999999999997</v>
      </c>
      <c r="M1669" s="2" t="s">
        <v>758</v>
      </c>
      <c r="N1669" s="2" t="s">
        <v>500</v>
      </c>
      <c r="O1669" s="2"/>
      <c r="P1669" s="4"/>
      <c r="Q1669" s="4"/>
      <c r="R1669" s="4"/>
      <c r="S1669" s="4"/>
      <c r="T1669" s="4"/>
      <c r="U1669" s="4"/>
      <c r="V1669" s="4"/>
      <c r="W1669" s="4"/>
      <c r="X1669" s="4"/>
      <c r="Y1669" s="4"/>
      <c r="Z1669" s="4"/>
      <c r="AA1669" s="4"/>
      <c r="AB1669" s="4"/>
      <c r="AC1669" s="4"/>
      <c r="AD1669" s="4"/>
      <c r="AE1669" s="4"/>
      <c r="AF1669" s="4"/>
      <c r="AG1669" s="4"/>
      <c r="AH1669" s="4"/>
      <c r="AI1669" s="4"/>
      <c r="AJ1669" s="4"/>
      <c r="AK1669" s="4"/>
      <c r="AL1669" s="4"/>
      <c r="AM1669" s="4"/>
      <c r="AN1669" s="4"/>
      <c r="AO1669" s="4"/>
      <c r="AP1669" s="4"/>
      <c r="AQ1669" s="4"/>
      <c r="AR1669" s="4"/>
      <c r="AS1669" s="4"/>
      <c r="AT1669" s="4"/>
      <c r="AU1669" s="4"/>
      <c r="AV1669" s="4"/>
      <c r="AW1669" s="4"/>
      <c r="AX1669" s="4"/>
      <c r="AY1669" s="4"/>
      <c r="AZ1669" s="4"/>
      <c r="BA1669" s="4"/>
      <c r="BB1669" s="4"/>
      <c r="BC1669" s="4"/>
      <c r="BD1669" s="4"/>
      <c r="BE1669" s="4"/>
      <c r="BF1669" s="4"/>
      <c r="BG1669" s="4"/>
      <c r="BH1669" s="4"/>
      <c r="BI1669" s="4"/>
      <c r="BJ1669" s="4"/>
      <c r="BK1669" s="4"/>
      <c r="BL1669" s="4"/>
      <c r="BM1669" s="4"/>
      <c r="BN1669" s="4"/>
      <c r="BO1669" s="4"/>
      <c r="BP1669" s="4"/>
      <c r="BQ1669" s="4"/>
      <c r="BR1669" s="4"/>
      <c r="BS1669" s="4"/>
      <c r="BT1669" s="4"/>
      <c r="BU1669" s="4"/>
      <c r="BV1669" s="4"/>
      <c r="BW1669" s="4"/>
      <c r="BX1669" s="4"/>
      <c r="BY1669" s="4"/>
      <c r="BZ1669" s="4"/>
      <c r="CA1669" s="4"/>
      <c r="CB1669" s="4"/>
      <c r="CC1669" s="4"/>
      <c r="CD1669" s="4"/>
      <c r="CE1669" s="4"/>
      <c r="CF1669" s="4"/>
      <c r="CG1669" s="4"/>
      <c r="CH1669" s="4"/>
      <c r="CI1669" s="4"/>
      <c r="CJ1669" s="4"/>
      <c r="CK1669" s="4"/>
      <c r="CL1669" s="4"/>
      <c r="CM1669" s="4"/>
      <c r="CN1669" s="4"/>
      <c r="CO1669" s="4"/>
      <c r="CP1669" s="4"/>
      <c r="CQ1669" s="4"/>
      <c r="CR1669" s="4"/>
      <c r="CS1669" s="4"/>
      <c r="CT1669" s="4"/>
      <c r="CU1669" s="4"/>
      <c r="CV1669" s="4"/>
      <c r="CW1669" s="4"/>
      <c r="CX1669" s="4"/>
      <c r="CY1669" s="4"/>
      <c r="CZ1669" s="4"/>
      <c r="DA1669" s="4"/>
      <c r="DB1669" s="4"/>
      <c r="DC1669" s="4"/>
      <c r="DD1669" s="4"/>
      <c r="DE1669" s="4"/>
      <c r="DF1669" s="4"/>
      <c r="DG1669" s="4"/>
      <c r="DH1669" s="4"/>
      <c r="DI1669" s="4"/>
      <c r="DJ1669" s="4"/>
      <c r="DK1669" s="4"/>
      <c r="DL1669" s="4"/>
      <c r="DM1669" s="4"/>
      <c r="DN1669" s="4"/>
      <c r="DO1669" s="4"/>
      <c r="DP1669" s="4"/>
      <c r="DQ1669" s="4"/>
      <c r="DR1669" s="4"/>
    </row>
    <row r="1670" spans="1:122" x14ac:dyDescent="0.25">
      <c r="A1670" s="2" t="s">
        <v>15</v>
      </c>
      <c r="B1670" s="2" t="str">
        <f>"FES1162770002"</f>
        <v>FES1162770002</v>
      </c>
      <c r="C1670" s="2" t="s">
        <v>1190</v>
      </c>
      <c r="D1670" s="2">
        <v>1</v>
      </c>
      <c r="E1670" s="2" t="str">
        <f>"2170757231"</f>
        <v>2170757231</v>
      </c>
      <c r="F1670" s="2" t="s">
        <v>17</v>
      </c>
      <c r="G1670" s="2" t="s">
        <v>18</v>
      </c>
      <c r="H1670" s="2" t="s">
        <v>25</v>
      </c>
      <c r="I1670" s="2" t="s">
        <v>26</v>
      </c>
      <c r="J1670" s="2" t="s">
        <v>27</v>
      </c>
      <c r="K1670" s="2" t="s">
        <v>1266</v>
      </c>
      <c r="L1670" s="3">
        <v>0.35000000000000003</v>
      </c>
      <c r="M1670" s="2" t="s">
        <v>171</v>
      </c>
      <c r="N1670" s="2" t="s">
        <v>500</v>
      </c>
      <c r="O1670" s="2"/>
      <c r="P1670" s="4"/>
      <c r="Q1670" s="4"/>
      <c r="R1670" s="4"/>
      <c r="S1670" s="4"/>
      <c r="T1670" s="4"/>
      <c r="U1670" s="4"/>
      <c r="V1670" s="4"/>
      <c r="W1670" s="4"/>
      <c r="X1670" s="4"/>
      <c r="Y1670" s="4"/>
      <c r="Z1670" s="4"/>
      <c r="AA1670" s="4"/>
      <c r="AB1670" s="4"/>
      <c r="AC1670" s="4"/>
      <c r="AD1670" s="4"/>
      <c r="AE1670" s="4"/>
      <c r="AF1670" s="4"/>
      <c r="AG1670" s="4"/>
      <c r="AH1670" s="4"/>
      <c r="AI1670" s="4"/>
      <c r="AJ1670" s="4"/>
      <c r="AK1670" s="4"/>
      <c r="AL1670" s="4"/>
      <c r="AM1670" s="4"/>
      <c r="AN1670" s="4"/>
      <c r="AO1670" s="4"/>
      <c r="AP1670" s="4"/>
      <c r="AQ1670" s="4"/>
      <c r="AR1670" s="4"/>
      <c r="AS1670" s="4"/>
      <c r="AT1670" s="4"/>
      <c r="AU1670" s="4"/>
      <c r="AV1670" s="4"/>
      <c r="AW1670" s="4"/>
      <c r="AX1670" s="4"/>
      <c r="AY1670" s="4"/>
      <c r="AZ1670" s="4"/>
      <c r="BA1670" s="4"/>
      <c r="BB1670" s="4"/>
      <c r="BC1670" s="4"/>
      <c r="BD1670" s="4"/>
      <c r="BE1670" s="4"/>
      <c r="BF1670" s="4"/>
      <c r="BG1670" s="4"/>
      <c r="BH1670" s="4"/>
      <c r="BI1670" s="4"/>
      <c r="BJ1670" s="4"/>
      <c r="BK1670" s="4"/>
      <c r="BL1670" s="4"/>
      <c r="BM1670" s="4"/>
      <c r="BN1670" s="4"/>
      <c r="BO1670" s="4"/>
      <c r="BP1670" s="4"/>
      <c r="BQ1670" s="4"/>
      <c r="BR1670" s="4"/>
      <c r="BS1670" s="4"/>
      <c r="BT1670" s="4"/>
      <c r="BU1670" s="4"/>
      <c r="BV1670" s="4"/>
      <c r="BW1670" s="4"/>
      <c r="BX1670" s="4"/>
      <c r="BY1670" s="4"/>
      <c r="BZ1670" s="4"/>
      <c r="CA1670" s="4"/>
      <c r="CB1670" s="4"/>
      <c r="CC1670" s="4"/>
      <c r="CD1670" s="4"/>
      <c r="CE1670" s="4"/>
      <c r="CF1670" s="4"/>
      <c r="CG1670" s="4"/>
      <c r="CH1670" s="4"/>
      <c r="CI1670" s="4"/>
      <c r="CJ1670" s="4"/>
      <c r="CK1670" s="4"/>
      <c r="CL1670" s="4"/>
      <c r="CM1670" s="4"/>
      <c r="CN1670" s="4"/>
      <c r="CO1670" s="4"/>
      <c r="CP1670" s="4"/>
      <c r="CQ1670" s="4"/>
      <c r="CR1670" s="4"/>
      <c r="CS1670" s="4"/>
      <c r="CT1670" s="4"/>
      <c r="CU1670" s="4"/>
      <c r="CV1670" s="4"/>
      <c r="CW1670" s="4"/>
      <c r="CX1670" s="4"/>
      <c r="CY1670" s="4"/>
      <c r="CZ1670" s="4"/>
      <c r="DA1670" s="4"/>
      <c r="DB1670" s="4"/>
      <c r="DC1670" s="4"/>
      <c r="DD1670" s="4"/>
      <c r="DE1670" s="4"/>
      <c r="DF1670" s="4"/>
      <c r="DG1670" s="4"/>
      <c r="DH1670" s="4"/>
      <c r="DI1670" s="4"/>
      <c r="DJ1670" s="4"/>
      <c r="DK1670" s="4"/>
      <c r="DL1670" s="4"/>
      <c r="DM1670" s="4"/>
      <c r="DN1670" s="4"/>
      <c r="DO1670" s="4"/>
      <c r="DP1670" s="4"/>
      <c r="DQ1670" s="4"/>
      <c r="DR1670" s="4"/>
    </row>
    <row r="1671" spans="1:122" x14ac:dyDescent="0.25">
      <c r="A1671" s="2" t="s">
        <v>15</v>
      </c>
      <c r="B1671" s="2" t="str">
        <f>"FES1162769957"</f>
        <v>FES1162769957</v>
      </c>
      <c r="C1671" s="2" t="s">
        <v>1190</v>
      </c>
      <c r="D1671" s="2">
        <v>1</v>
      </c>
      <c r="E1671" s="2" t="str">
        <f>"2170755568"</f>
        <v>2170755568</v>
      </c>
      <c r="F1671" s="2" t="s">
        <v>17</v>
      </c>
      <c r="G1671" s="2" t="s">
        <v>18</v>
      </c>
      <c r="H1671" s="2" t="s">
        <v>25</v>
      </c>
      <c r="I1671" s="2" t="s">
        <v>26</v>
      </c>
      <c r="J1671" s="2" t="s">
        <v>100</v>
      </c>
      <c r="K1671" s="2" t="s">
        <v>1266</v>
      </c>
      <c r="L1671" s="3">
        <v>0.31666666666666665</v>
      </c>
      <c r="M1671" s="2" t="s">
        <v>1291</v>
      </c>
      <c r="N1671" s="2" t="s">
        <v>500</v>
      </c>
      <c r="O1671" s="2"/>
      <c r="P1671" s="4"/>
      <c r="Q1671" s="4"/>
      <c r="R1671" s="4"/>
      <c r="S1671" s="4"/>
      <c r="T1671" s="4"/>
      <c r="U1671" s="4"/>
      <c r="V1671" s="4"/>
      <c r="W1671" s="4"/>
      <c r="X1671" s="4"/>
      <c r="Y1671" s="4"/>
      <c r="Z1671" s="4"/>
      <c r="AA1671" s="4"/>
      <c r="AB1671" s="4"/>
      <c r="AC1671" s="4"/>
      <c r="AD1671" s="4"/>
      <c r="AE1671" s="4"/>
      <c r="AF1671" s="4"/>
      <c r="AG1671" s="4"/>
      <c r="AH1671" s="4"/>
      <c r="AI1671" s="4"/>
      <c r="AJ1671" s="4"/>
      <c r="AK1671" s="4"/>
      <c r="AL1671" s="4"/>
      <c r="AM1671" s="4"/>
      <c r="AN1671" s="4"/>
      <c r="AO1671" s="4"/>
      <c r="AP1671" s="4"/>
      <c r="AQ1671" s="4"/>
      <c r="AR1671" s="4"/>
      <c r="AS1671" s="4"/>
      <c r="AT1671" s="4"/>
      <c r="AU1671" s="4"/>
      <c r="AV1671" s="4"/>
      <c r="AW1671" s="4"/>
      <c r="AX1671" s="4"/>
      <c r="AY1671" s="4"/>
      <c r="AZ1671" s="4"/>
      <c r="BA1671" s="4"/>
      <c r="BB1671" s="4"/>
      <c r="BC1671" s="4"/>
      <c r="BD1671" s="4"/>
      <c r="BE1671" s="4"/>
      <c r="BF1671" s="4"/>
      <c r="BG1671" s="4"/>
      <c r="BH1671" s="4"/>
      <c r="BI1671" s="4"/>
      <c r="BJ1671" s="4"/>
      <c r="BK1671" s="4"/>
      <c r="BL1671" s="4"/>
      <c r="BM1671" s="4"/>
      <c r="BN1671" s="4"/>
      <c r="BO1671" s="4"/>
      <c r="BP1671" s="4"/>
      <c r="BQ1671" s="4"/>
      <c r="BR1671" s="4"/>
      <c r="BS1671" s="4"/>
      <c r="BT1671" s="4"/>
      <c r="BU1671" s="4"/>
      <c r="BV1671" s="4"/>
      <c r="BW1671" s="4"/>
      <c r="BX1671" s="4"/>
      <c r="BY1671" s="4"/>
      <c r="BZ1671" s="4"/>
      <c r="CA1671" s="4"/>
      <c r="CB1671" s="4"/>
      <c r="CC1671" s="4"/>
      <c r="CD1671" s="4"/>
      <c r="CE1671" s="4"/>
      <c r="CF1671" s="4"/>
      <c r="CG1671" s="4"/>
      <c r="CH1671" s="4"/>
      <c r="CI1671" s="4"/>
      <c r="CJ1671" s="4"/>
      <c r="CK1671" s="4"/>
      <c r="CL1671" s="4"/>
      <c r="CM1671" s="4"/>
      <c r="CN1671" s="4"/>
      <c r="CO1671" s="4"/>
      <c r="CP1671" s="4"/>
      <c r="CQ1671" s="4"/>
      <c r="CR1671" s="4"/>
      <c r="CS1671" s="4"/>
      <c r="CT1671" s="4"/>
      <c r="CU1671" s="4"/>
      <c r="CV1671" s="4"/>
      <c r="CW1671" s="4"/>
      <c r="CX1671" s="4"/>
      <c r="CY1671" s="4"/>
      <c r="CZ1671" s="4"/>
      <c r="DA1671" s="4"/>
      <c r="DB1671" s="4"/>
      <c r="DC1671" s="4"/>
      <c r="DD1671" s="4"/>
      <c r="DE1671" s="4"/>
      <c r="DF1671" s="4"/>
      <c r="DG1671" s="4"/>
      <c r="DH1671" s="4"/>
      <c r="DI1671" s="4"/>
      <c r="DJ1671" s="4"/>
      <c r="DK1671" s="4"/>
      <c r="DL1671" s="4"/>
      <c r="DM1671" s="4"/>
      <c r="DN1671" s="4"/>
      <c r="DO1671" s="4"/>
      <c r="DP1671" s="4"/>
      <c r="DQ1671" s="4"/>
      <c r="DR1671" s="4"/>
    </row>
    <row r="1672" spans="1:122" x14ac:dyDescent="0.25">
      <c r="A1672" s="2" t="s">
        <v>15</v>
      </c>
      <c r="B1672" s="2" t="str">
        <f>"FES1162770001"</f>
        <v>FES1162770001</v>
      </c>
      <c r="C1672" s="2" t="s">
        <v>1190</v>
      </c>
      <c r="D1672" s="2">
        <v>1</v>
      </c>
      <c r="E1672" s="2" t="str">
        <f>"2170757201"</f>
        <v>2170757201</v>
      </c>
      <c r="F1672" s="2" t="s">
        <v>17</v>
      </c>
      <c r="G1672" s="2" t="s">
        <v>18</v>
      </c>
      <c r="H1672" s="2" t="s">
        <v>25</v>
      </c>
      <c r="I1672" s="2" t="s">
        <v>125</v>
      </c>
      <c r="J1672" s="2" t="s">
        <v>126</v>
      </c>
      <c r="K1672" s="2" t="s">
        <v>1266</v>
      </c>
      <c r="L1672" s="3">
        <v>0.43194444444444446</v>
      </c>
      <c r="M1672" s="2" t="s">
        <v>1189</v>
      </c>
      <c r="N1672" s="2" t="s">
        <v>500</v>
      </c>
      <c r="O1672" s="2"/>
      <c r="P1672" s="4"/>
      <c r="Q1672" s="4"/>
      <c r="R1672" s="4"/>
      <c r="S1672" s="4"/>
      <c r="T1672" s="4"/>
      <c r="U1672" s="4"/>
      <c r="V1672" s="4"/>
      <c r="W1672" s="4"/>
      <c r="X1672" s="4"/>
      <c r="Y1672" s="4"/>
      <c r="Z1672" s="4"/>
      <c r="AA1672" s="4"/>
      <c r="AB1672" s="4"/>
      <c r="AC1672" s="4"/>
      <c r="AD1672" s="4"/>
      <c r="AE1672" s="4"/>
      <c r="AF1672" s="4"/>
      <c r="AG1672" s="4"/>
      <c r="AH1672" s="4"/>
      <c r="AI1672" s="4"/>
      <c r="AJ1672" s="4"/>
      <c r="AK1672" s="4"/>
      <c r="AL1672" s="4"/>
      <c r="AM1672" s="4"/>
      <c r="AN1672" s="4"/>
      <c r="AO1672" s="4"/>
      <c r="AP1672" s="4"/>
      <c r="AQ1672" s="4"/>
      <c r="AR1672" s="4"/>
      <c r="AS1672" s="4"/>
      <c r="AT1672" s="4"/>
      <c r="AU1672" s="4"/>
      <c r="AV1672" s="4"/>
      <c r="AW1672" s="4"/>
      <c r="AX1672" s="4"/>
      <c r="AY1672" s="4"/>
      <c r="AZ1672" s="4"/>
      <c r="BA1672" s="4"/>
      <c r="BB1672" s="4"/>
      <c r="BC1672" s="4"/>
      <c r="BD1672" s="4"/>
      <c r="BE1672" s="4"/>
      <c r="BF1672" s="4"/>
      <c r="BG1672" s="4"/>
      <c r="BH1672" s="4"/>
      <c r="BI1672" s="4"/>
      <c r="BJ1672" s="4"/>
      <c r="BK1672" s="4"/>
      <c r="BL1672" s="4"/>
      <c r="BM1672" s="4"/>
      <c r="BN1672" s="4"/>
      <c r="BO1672" s="4"/>
      <c r="BP1672" s="4"/>
      <c r="BQ1672" s="4"/>
      <c r="BR1672" s="4"/>
      <c r="BS1672" s="4"/>
      <c r="BT1672" s="4"/>
      <c r="BU1672" s="4"/>
      <c r="BV1672" s="4"/>
      <c r="BW1672" s="4"/>
      <c r="BX1672" s="4"/>
      <c r="BY1672" s="4"/>
      <c r="BZ1672" s="4"/>
      <c r="CA1672" s="4"/>
      <c r="CB1672" s="4"/>
      <c r="CC1672" s="4"/>
      <c r="CD1672" s="4"/>
      <c r="CE1672" s="4"/>
      <c r="CF1672" s="4"/>
      <c r="CG1672" s="4"/>
      <c r="CH1672" s="4"/>
      <c r="CI1672" s="4"/>
      <c r="CJ1672" s="4"/>
      <c r="CK1672" s="4"/>
      <c r="CL1672" s="4"/>
      <c r="CM1672" s="4"/>
      <c r="CN1672" s="4"/>
      <c r="CO1672" s="4"/>
      <c r="CP1672" s="4"/>
      <c r="CQ1672" s="4"/>
      <c r="CR1672" s="4"/>
      <c r="CS1672" s="4"/>
      <c r="CT1672" s="4"/>
      <c r="CU1672" s="4"/>
      <c r="CV1672" s="4"/>
      <c r="CW1672" s="4"/>
      <c r="CX1672" s="4"/>
      <c r="CY1672" s="4"/>
      <c r="CZ1672" s="4"/>
      <c r="DA1672" s="4"/>
      <c r="DB1672" s="4"/>
      <c r="DC1672" s="4"/>
      <c r="DD1672" s="4"/>
      <c r="DE1672" s="4"/>
      <c r="DF1672" s="4"/>
      <c r="DG1672" s="4"/>
      <c r="DH1672" s="4"/>
      <c r="DI1672" s="4"/>
      <c r="DJ1672" s="4"/>
      <c r="DK1672" s="4"/>
      <c r="DL1672" s="4"/>
      <c r="DM1672" s="4"/>
      <c r="DN1672" s="4"/>
      <c r="DO1672" s="4"/>
      <c r="DP1672" s="4"/>
      <c r="DQ1672" s="4"/>
      <c r="DR1672" s="4"/>
    </row>
    <row r="1673" spans="1:122" x14ac:dyDescent="0.25">
      <c r="A1673" s="2" t="s">
        <v>15</v>
      </c>
      <c r="B1673" s="2" t="str">
        <f>"FES1162769508"</f>
        <v>FES1162769508</v>
      </c>
      <c r="C1673" s="2" t="s">
        <v>1190</v>
      </c>
      <c r="D1673" s="2">
        <v>1</v>
      </c>
      <c r="E1673" s="2" t="str">
        <f>"2170755296"</f>
        <v>2170755296</v>
      </c>
      <c r="F1673" s="2" t="s">
        <v>17</v>
      </c>
      <c r="G1673" s="2" t="s">
        <v>18</v>
      </c>
      <c r="H1673" s="2" t="s">
        <v>36</v>
      </c>
      <c r="I1673" s="2" t="s">
        <v>37</v>
      </c>
      <c r="J1673" s="2" t="s">
        <v>476</v>
      </c>
      <c r="K1673" s="2" t="s">
        <v>1266</v>
      </c>
      <c r="L1673" s="3">
        <v>0.36944444444444446</v>
      </c>
      <c r="M1673" s="2" t="s">
        <v>1335</v>
      </c>
      <c r="N1673" s="2" t="s">
        <v>500</v>
      </c>
      <c r="O1673" s="2"/>
      <c r="P1673" s="4"/>
      <c r="Q1673" s="4"/>
      <c r="R1673" s="4"/>
      <c r="S1673" s="4"/>
      <c r="T1673" s="4"/>
      <c r="U1673" s="4"/>
      <c r="V1673" s="4"/>
      <c r="W1673" s="4"/>
      <c r="X1673" s="4"/>
      <c r="Y1673" s="4"/>
      <c r="Z1673" s="4"/>
      <c r="AA1673" s="4"/>
      <c r="AB1673" s="4"/>
      <c r="AC1673" s="4"/>
      <c r="AD1673" s="4"/>
      <c r="AE1673" s="4"/>
      <c r="AF1673" s="4"/>
      <c r="AG1673" s="4"/>
      <c r="AH1673" s="4"/>
      <c r="AI1673" s="4"/>
      <c r="AJ1673" s="4"/>
      <c r="AK1673" s="4"/>
      <c r="AL1673" s="4"/>
      <c r="AM1673" s="4"/>
      <c r="AN1673" s="4"/>
      <c r="AO1673" s="4"/>
      <c r="AP1673" s="4"/>
      <c r="AQ1673" s="4"/>
      <c r="AR1673" s="4"/>
      <c r="AS1673" s="4"/>
      <c r="AT1673" s="4"/>
      <c r="AU1673" s="4"/>
      <c r="AV1673" s="4"/>
      <c r="AW1673" s="4"/>
      <c r="AX1673" s="4"/>
      <c r="AY1673" s="4"/>
      <c r="AZ1673" s="4"/>
      <c r="BA1673" s="4"/>
      <c r="BB1673" s="4"/>
      <c r="BC1673" s="4"/>
      <c r="BD1673" s="4"/>
      <c r="BE1673" s="4"/>
      <c r="BF1673" s="4"/>
      <c r="BG1673" s="4"/>
      <c r="BH1673" s="4"/>
      <c r="BI1673" s="4"/>
      <c r="BJ1673" s="4"/>
      <c r="BK1673" s="4"/>
      <c r="BL1673" s="4"/>
      <c r="BM1673" s="4"/>
      <c r="BN1673" s="4"/>
      <c r="BO1673" s="4"/>
      <c r="BP1673" s="4"/>
      <c r="BQ1673" s="4"/>
      <c r="BR1673" s="4"/>
      <c r="BS1673" s="4"/>
      <c r="BT1673" s="4"/>
      <c r="BU1673" s="4"/>
      <c r="BV1673" s="4"/>
      <c r="BW1673" s="4"/>
      <c r="BX1673" s="4"/>
      <c r="BY1673" s="4"/>
      <c r="BZ1673" s="4"/>
      <c r="CA1673" s="4"/>
      <c r="CB1673" s="4"/>
      <c r="CC1673" s="4"/>
      <c r="CD1673" s="4"/>
      <c r="CE1673" s="4"/>
      <c r="CF1673" s="4"/>
      <c r="CG1673" s="4"/>
      <c r="CH1673" s="4"/>
      <c r="CI1673" s="4"/>
      <c r="CJ1673" s="4"/>
      <c r="CK1673" s="4"/>
      <c r="CL1673" s="4"/>
      <c r="CM1673" s="4"/>
      <c r="CN1673" s="4"/>
      <c r="CO1673" s="4"/>
      <c r="CP1673" s="4"/>
      <c r="CQ1673" s="4"/>
      <c r="CR1673" s="4"/>
      <c r="CS1673" s="4"/>
      <c r="CT1673" s="4"/>
      <c r="CU1673" s="4"/>
      <c r="CV1673" s="4"/>
      <c r="CW1673" s="4"/>
      <c r="CX1673" s="4"/>
      <c r="CY1673" s="4"/>
      <c r="CZ1673" s="4"/>
      <c r="DA1673" s="4"/>
      <c r="DB1673" s="4"/>
      <c r="DC1673" s="4"/>
      <c r="DD1673" s="4"/>
      <c r="DE1673" s="4"/>
      <c r="DF1673" s="4"/>
      <c r="DG1673" s="4"/>
      <c r="DH1673" s="4"/>
      <c r="DI1673" s="4"/>
      <c r="DJ1673" s="4"/>
      <c r="DK1673" s="4"/>
      <c r="DL1673" s="4"/>
      <c r="DM1673" s="4"/>
      <c r="DN1673" s="4"/>
      <c r="DO1673" s="4"/>
      <c r="DP1673" s="4"/>
      <c r="DQ1673" s="4"/>
      <c r="DR1673" s="4"/>
    </row>
    <row r="1674" spans="1:122" x14ac:dyDescent="0.25">
      <c r="A1674" s="2" t="s">
        <v>15</v>
      </c>
      <c r="B1674" s="2" t="str">
        <f>"FES1162769882"</f>
        <v>FES1162769882</v>
      </c>
      <c r="C1674" s="2" t="s">
        <v>1190</v>
      </c>
      <c r="D1674" s="2">
        <v>1</v>
      </c>
      <c r="E1674" s="2" t="str">
        <f>"2170757092"</f>
        <v>2170757092</v>
      </c>
      <c r="F1674" s="2" t="s">
        <v>17</v>
      </c>
      <c r="G1674" s="2" t="s">
        <v>18</v>
      </c>
      <c r="H1674" s="2" t="s">
        <v>19</v>
      </c>
      <c r="I1674" s="2" t="s">
        <v>20</v>
      </c>
      <c r="J1674" s="2" t="s">
        <v>1307</v>
      </c>
      <c r="K1674" s="2" t="s">
        <v>1266</v>
      </c>
      <c r="L1674" s="3">
        <v>0.3215277777777778</v>
      </c>
      <c r="M1674" s="2" t="s">
        <v>1308</v>
      </c>
      <c r="N1674" s="2" t="s">
        <v>500</v>
      </c>
      <c r="O1674" s="2"/>
      <c r="P1674" s="4"/>
      <c r="Q1674" s="4"/>
      <c r="R1674" s="4"/>
      <c r="S1674" s="4"/>
      <c r="T1674" s="4"/>
      <c r="U1674" s="4"/>
      <c r="V1674" s="4"/>
      <c r="W1674" s="4"/>
      <c r="X1674" s="4"/>
      <c r="Y1674" s="4"/>
      <c r="Z1674" s="4"/>
      <c r="AA1674" s="4"/>
      <c r="AB1674" s="4"/>
      <c r="AC1674" s="4"/>
      <c r="AD1674" s="4"/>
      <c r="AE1674" s="4"/>
      <c r="AF1674" s="4"/>
      <c r="AG1674" s="4"/>
      <c r="AH1674" s="4"/>
      <c r="AI1674" s="4"/>
      <c r="AJ1674" s="4"/>
      <c r="AK1674" s="4"/>
      <c r="AL1674" s="4"/>
      <c r="AM1674" s="4"/>
      <c r="AN1674" s="4"/>
      <c r="AO1674" s="4"/>
      <c r="AP1674" s="4"/>
      <c r="AQ1674" s="4"/>
      <c r="AR1674" s="4"/>
      <c r="AS1674" s="4"/>
      <c r="AT1674" s="4"/>
      <c r="AU1674" s="4"/>
      <c r="AV1674" s="4"/>
      <c r="AW1674" s="4"/>
      <c r="AX1674" s="4"/>
      <c r="AY1674" s="4"/>
      <c r="AZ1674" s="4"/>
      <c r="BA1674" s="4"/>
      <c r="BB1674" s="4"/>
      <c r="BC1674" s="4"/>
      <c r="BD1674" s="4"/>
      <c r="BE1674" s="4"/>
      <c r="BF1674" s="4"/>
      <c r="BG1674" s="4"/>
      <c r="BH1674" s="4"/>
      <c r="BI1674" s="4"/>
      <c r="BJ1674" s="4"/>
      <c r="BK1674" s="4"/>
      <c r="BL1674" s="4"/>
      <c r="BM1674" s="4"/>
      <c r="BN1674" s="4"/>
      <c r="BO1674" s="4"/>
      <c r="BP1674" s="4"/>
      <c r="BQ1674" s="4"/>
      <c r="BR1674" s="4"/>
      <c r="BS1674" s="4"/>
      <c r="BT1674" s="4"/>
      <c r="BU1674" s="4"/>
      <c r="BV1674" s="4"/>
      <c r="BW1674" s="4"/>
      <c r="BX1674" s="4"/>
      <c r="BY1674" s="4"/>
      <c r="BZ1674" s="4"/>
      <c r="CA1674" s="4"/>
      <c r="CB1674" s="4"/>
      <c r="CC1674" s="4"/>
      <c r="CD1674" s="4"/>
      <c r="CE1674" s="4"/>
      <c r="CF1674" s="4"/>
      <c r="CG1674" s="4"/>
      <c r="CH1674" s="4"/>
      <c r="CI1674" s="4"/>
      <c r="CJ1674" s="4"/>
      <c r="CK1674" s="4"/>
      <c r="CL1674" s="4"/>
      <c r="CM1674" s="4"/>
      <c r="CN1674" s="4"/>
      <c r="CO1674" s="4"/>
      <c r="CP1674" s="4"/>
      <c r="CQ1674" s="4"/>
      <c r="CR1674" s="4"/>
      <c r="CS1674" s="4"/>
      <c r="CT1674" s="4"/>
      <c r="CU1674" s="4"/>
      <c r="CV1674" s="4"/>
      <c r="CW1674" s="4"/>
      <c r="CX1674" s="4"/>
      <c r="CY1674" s="4"/>
      <c r="CZ1674" s="4"/>
      <c r="DA1674" s="4"/>
      <c r="DB1674" s="4"/>
      <c r="DC1674" s="4"/>
      <c r="DD1674" s="4"/>
      <c r="DE1674" s="4"/>
      <c r="DF1674" s="4"/>
      <c r="DG1674" s="4"/>
      <c r="DH1674" s="4"/>
      <c r="DI1674" s="4"/>
      <c r="DJ1674" s="4"/>
      <c r="DK1674" s="4"/>
      <c r="DL1674" s="4"/>
      <c r="DM1674" s="4"/>
      <c r="DN1674" s="4"/>
      <c r="DO1674" s="4"/>
      <c r="DP1674" s="4"/>
      <c r="DQ1674" s="4"/>
      <c r="DR1674" s="4"/>
    </row>
    <row r="1675" spans="1:122" x14ac:dyDescent="0.25">
      <c r="A1675" s="2" t="s">
        <v>15</v>
      </c>
      <c r="B1675" s="2" t="str">
        <f>"FES1162769843"</f>
        <v>FES1162769843</v>
      </c>
      <c r="C1675" s="2" t="s">
        <v>1190</v>
      </c>
      <c r="D1675" s="2">
        <v>1</v>
      </c>
      <c r="E1675" s="2" t="str">
        <f>"2170757118"</f>
        <v>2170757118</v>
      </c>
      <c r="F1675" s="2" t="s">
        <v>17</v>
      </c>
      <c r="G1675" s="2" t="s">
        <v>18</v>
      </c>
      <c r="H1675" s="2" t="s">
        <v>19</v>
      </c>
      <c r="I1675" s="2" t="s">
        <v>20</v>
      </c>
      <c r="J1675" s="2" t="s">
        <v>767</v>
      </c>
      <c r="K1675" s="2" t="s">
        <v>1266</v>
      </c>
      <c r="L1675" s="3">
        <v>0.3125</v>
      </c>
      <c r="M1675" s="2" t="s">
        <v>826</v>
      </c>
      <c r="N1675" s="2" t="s">
        <v>500</v>
      </c>
      <c r="O1675" s="2"/>
      <c r="P1675" s="4"/>
      <c r="Q1675" s="4"/>
      <c r="R1675" s="4"/>
      <c r="S1675" s="4"/>
      <c r="T1675" s="4"/>
      <c r="U1675" s="4"/>
      <c r="V1675" s="4"/>
      <c r="W1675" s="4"/>
      <c r="X1675" s="4"/>
      <c r="Y1675" s="4"/>
      <c r="Z1675" s="4"/>
      <c r="AA1675" s="4"/>
      <c r="AB1675" s="4"/>
      <c r="AC1675" s="4"/>
      <c r="AD1675" s="4"/>
      <c r="AE1675" s="4"/>
      <c r="AF1675" s="4"/>
      <c r="AG1675" s="4"/>
      <c r="AH1675" s="4"/>
      <c r="AI1675" s="4"/>
      <c r="AJ1675" s="4"/>
      <c r="AK1675" s="4"/>
      <c r="AL1675" s="4"/>
      <c r="AM1675" s="4"/>
      <c r="AN1675" s="4"/>
      <c r="AO1675" s="4"/>
      <c r="AP1675" s="4"/>
      <c r="AQ1675" s="4"/>
      <c r="AR1675" s="4"/>
      <c r="AS1675" s="4"/>
      <c r="AT1675" s="4"/>
      <c r="AU1675" s="4"/>
      <c r="AV1675" s="4"/>
      <c r="AW1675" s="4"/>
      <c r="AX1675" s="4"/>
      <c r="AY1675" s="4"/>
      <c r="AZ1675" s="4"/>
      <c r="BA1675" s="4"/>
      <c r="BB1675" s="4"/>
      <c r="BC1675" s="4"/>
      <c r="BD1675" s="4"/>
      <c r="BE1675" s="4"/>
      <c r="BF1675" s="4"/>
      <c r="BG1675" s="4"/>
      <c r="BH1675" s="4"/>
      <c r="BI1675" s="4"/>
      <c r="BJ1675" s="4"/>
      <c r="BK1675" s="4"/>
      <c r="BL1675" s="4"/>
      <c r="BM1675" s="4"/>
      <c r="BN1675" s="4"/>
      <c r="BO1675" s="4"/>
      <c r="BP1675" s="4"/>
      <c r="BQ1675" s="4"/>
      <c r="BR1675" s="4"/>
      <c r="BS1675" s="4"/>
      <c r="BT1675" s="4"/>
      <c r="BU1675" s="4"/>
      <c r="BV1675" s="4"/>
      <c r="BW1675" s="4"/>
      <c r="BX1675" s="4"/>
      <c r="BY1675" s="4"/>
      <c r="BZ1675" s="4"/>
      <c r="CA1675" s="4"/>
      <c r="CB1675" s="4"/>
      <c r="CC1675" s="4"/>
      <c r="CD1675" s="4"/>
      <c r="CE1675" s="4"/>
      <c r="CF1675" s="4"/>
      <c r="CG1675" s="4"/>
      <c r="CH1675" s="4"/>
      <c r="CI1675" s="4"/>
      <c r="CJ1675" s="4"/>
      <c r="CK1675" s="4"/>
      <c r="CL1675" s="4"/>
      <c r="CM1675" s="4"/>
      <c r="CN1675" s="4"/>
      <c r="CO1675" s="4"/>
      <c r="CP1675" s="4"/>
      <c r="CQ1675" s="4"/>
      <c r="CR1675" s="4"/>
      <c r="CS1675" s="4"/>
      <c r="CT1675" s="4"/>
      <c r="CU1675" s="4"/>
      <c r="CV1675" s="4"/>
      <c r="CW1675" s="4"/>
      <c r="CX1675" s="4"/>
      <c r="CY1675" s="4"/>
      <c r="CZ1675" s="4"/>
      <c r="DA1675" s="4"/>
      <c r="DB1675" s="4"/>
      <c r="DC1675" s="4"/>
      <c r="DD1675" s="4"/>
      <c r="DE1675" s="4"/>
      <c r="DF1675" s="4"/>
      <c r="DG1675" s="4"/>
      <c r="DH1675" s="4"/>
      <c r="DI1675" s="4"/>
      <c r="DJ1675" s="4"/>
      <c r="DK1675" s="4"/>
      <c r="DL1675" s="4"/>
      <c r="DM1675" s="4"/>
      <c r="DN1675" s="4"/>
      <c r="DO1675" s="4"/>
      <c r="DP1675" s="4"/>
      <c r="DQ1675" s="4"/>
      <c r="DR1675" s="4"/>
    </row>
    <row r="1676" spans="1:122" x14ac:dyDescent="0.25">
      <c r="A1676" s="2" t="s">
        <v>15</v>
      </c>
      <c r="B1676" s="2" t="str">
        <f>"R009940283636"</f>
        <v>R009940283636</v>
      </c>
      <c r="C1676" s="2" t="s">
        <v>1190</v>
      </c>
      <c r="D1676" s="2">
        <v>1</v>
      </c>
      <c r="E1676" s="2" t="str">
        <f>"1162767047"</f>
        <v>1162767047</v>
      </c>
      <c r="F1676" s="2" t="s">
        <v>17</v>
      </c>
      <c r="G1676" s="2" t="s">
        <v>18</v>
      </c>
      <c r="H1676" s="2" t="s">
        <v>18</v>
      </c>
      <c r="I1676" s="2" t="s">
        <v>46</v>
      </c>
      <c r="J1676" s="2" t="s">
        <v>170</v>
      </c>
      <c r="K1676" s="2" t="s">
        <v>1266</v>
      </c>
      <c r="L1676" s="3">
        <v>0.37152777777777773</v>
      </c>
      <c r="M1676" s="2" t="s">
        <v>262</v>
      </c>
      <c r="N1676" s="2" t="s">
        <v>500</v>
      </c>
      <c r="O1676" s="2"/>
      <c r="P1676" s="4"/>
      <c r="Q1676" s="4"/>
      <c r="R1676" s="4"/>
      <c r="S1676" s="4"/>
      <c r="T1676" s="4"/>
      <c r="U1676" s="4"/>
      <c r="V1676" s="4"/>
      <c r="W1676" s="4"/>
      <c r="X1676" s="4"/>
      <c r="Y1676" s="4"/>
      <c r="Z1676" s="4"/>
      <c r="AA1676" s="4"/>
      <c r="AB1676" s="4"/>
      <c r="AC1676" s="4"/>
      <c r="AD1676" s="4"/>
      <c r="AE1676" s="4"/>
      <c r="AF1676" s="4"/>
      <c r="AG1676" s="4"/>
      <c r="AH1676" s="4"/>
      <c r="AI1676" s="4"/>
      <c r="AJ1676" s="4"/>
      <c r="AK1676" s="4"/>
      <c r="AL1676" s="4"/>
      <c r="AM1676" s="4"/>
      <c r="AN1676" s="4"/>
      <c r="AO1676" s="4"/>
      <c r="AP1676" s="4"/>
      <c r="AQ1676" s="4"/>
      <c r="AR1676" s="4"/>
      <c r="AS1676" s="4"/>
      <c r="AT1676" s="4"/>
      <c r="AU1676" s="4"/>
      <c r="AV1676" s="4"/>
      <c r="AW1676" s="4"/>
      <c r="AX1676" s="4"/>
      <c r="AY1676" s="4"/>
      <c r="AZ1676" s="4"/>
      <c r="BA1676" s="4"/>
      <c r="BB1676" s="4"/>
      <c r="BC1676" s="4"/>
      <c r="BD1676" s="4"/>
      <c r="BE1676" s="4"/>
      <c r="BF1676" s="4"/>
      <c r="BG1676" s="4"/>
      <c r="BH1676" s="4"/>
      <c r="BI1676" s="4"/>
      <c r="BJ1676" s="4"/>
      <c r="BK1676" s="4"/>
      <c r="BL1676" s="4"/>
      <c r="BM1676" s="4"/>
      <c r="BN1676" s="4"/>
      <c r="BO1676" s="4"/>
      <c r="BP1676" s="4"/>
      <c r="BQ1676" s="4"/>
      <c r="BR1676" s="4"/>
      <c r="BS1676" s="4"/>
      <c r="BT1676" s="4"/>
      <c r="BU1676" s="4"/>
      <c r="BV1676" s="4"/>
      <c r="BW1676" s="4"/>
      <c r="BX1676" s="4"/>
      <c r="BY1676" s="4"/>
      <c r="BZ1676" s="4"/>
      <c r="CA1676" s="4"/>
      <c r="CB1676" s="4"/>
      <c r="CC1676" s="4"/>
      <c r="CD1676" s="4"/>
      <c r="CE1676" s="4"/>
      <c r="CF1676" s="4"/>
      <c r="CG1676" s="4"/>
      <c r="CH1676" s="4"/>
      <c r="CI1676" s="4"/>
      <c r="CJ1676" s="4"/>
      <c r="CK1676" s="4"/>
      <c r="CL1676" s="4"/>
      <c r="CM1676" s="4"/>
      <c r="CN1676" s="4"/>
      <c r="CO1676" s="4"/>
      <c r="CP1676" s="4"/>
      <c r="CQ1676" s="4"/>
      <c r="CR1676" s="4"/>
      <c r="CS1676" s="4"/>
      <c r="CT1676" s="4"/>
      <c r="CU1676" s="4"/>
      <c r="CV1676" s="4"/>
      <c r="CW1676" s="4"/>
      <c r="CX1676" s="4"/>
      <c r="CY1676" s="4"/>
      <c r="CZ1676" s="4"/>
      <c r="DA1676" s="4"/>
      <c r="DB1676" s="4"/>
      <c r="DC1676" s="4"/>
      <c r="DD1676" s="4"/>
      <c r="DE1676" s="4"/>
      <c r="DF1676" s="4"/>
      <c r="DG1676" s="4"/>
      <c r="DH1676" s="4"/>
      <c r="DI1676" s="4"/>
      <c r="DJ1676" s="4"/>
      <c r="DK1676" s="4"/>
      <c r="DL1676" s="4"/>
      <c r="DM1676" s="4"/>
      <c r="DN1676" s="4"/>
      <c r="DO1676" s="4"/>
      <c r="DP1676" s="4"/>
      <c r="DQ1676" s="4"/>
      <c r="DR1676" s="4"/>
    </row>
    <row r="1677" spans="1:122" s="11" customFormat="1" x14ac:dyDescent="0.25">
      <c r="A1677" s="5" t="s">
        <v>15</v>
      </c>
      <c r="B1677" s="5" t="str">
        <f>"FES1162769575"</f>
        <v>FES1162769575</v>
      </c>
      <c r="C1677" s="5" t="s">
        <v>1190</v>
      </c>
      <c r="D1677" s="5">
        <v>1</v>
      </c>
      <c r="E1677" s="5" t="str">
        <f>"2170756608"</f>
        <v>2170756608</v>
      </c>
      <c r="F1677" s="5" t="s">
        <v>17</v>
      </c>
      <c r="G1677" s="5" t="s">
        <v>18</v>
      </c>
      <c r="H1677" s="5" t="s">
        <v>18</v>
      </c>
      <c r="I1677" s="5" t="s">
        <v>459</v>
      </c>
      <c r="J1677" s="5" t="s">
        <v>460</v>
      </c>
      <c r="K1677" s="5" t="s">
        <v>1353</v>
      </c>
      <c r="L1677" s="9">
        <v>0.35416666666666669</v>
      </c>
      <c r="M1677" s="5" t="s">
        <v>1241</v>
      </c>
      <c r="N1677" s="5" t="s">
        <v>500</v>
      </c>
      <c r="O1677" s="5"/>
      <c r="P1677" s="4"/>
      <c r="Q1677" s="4"/>
      <c r="R1677" s="4"/>
      <c r="S1677" s="4"/>
      <c r="T1677" s="4"/>
      <c r="U1677" s="4"/>
      <c r="V1677" s="4"/>
      <c r="W1677" s="4"/>
      <c r="X1677" s="4"/>
      <c r="Y1677" s="4"/>
      <c r="Z1677" s="4"/>
      <c r="AA1677" s="4"/>
      <c r="AB1677" s="4"/>
      <c r="AC1677" s="4"/>
      <c r="AD1677" s="4"/>
      <c r="AE1677" s="4"/>
      <c r="AF1677" s="4"/>
      <c r="AG1677" s="4"/>
      <c r="AH1677" s="4"/>
      <c r="AI1677" s="4"/>
      <c r="AJ1677" s="4"/>
      <c r="AK1677" s="4"/>
      <c r="AL1677" s="4"/>
      <c r="AM1677" s="4"/>
      <c r="AN1677" s="4"/>
      <c r="AO1677" s="4"/>
      <c r="AP1677" s="4"/>
      <c r="AQ1677" s="4"/>
      <c r="AR1677" s="4"/>
      <c r="AS1677" s="4"/>
      <c r="AT1677" s="4"/>
      <c r="AU1677" s="4"/>
      <c r="AV1677" s="4"/>
      <c r="AW1677" s="4"/>
      <c r="AX1677" s="4"/>
      <c r="AY1677" s="4"/>
      <c r="AZ1677" s="4"/>
      <c r="BA1677" s="4"/>
      <c r="BB1677" s="4"/>
      <c r="BC1677" s="4"/>
      <c r="BD1677" s="4"/>
      <c r="BE1677" s="4"/>
      <c r="BF1677" s="4"/>
      <c r="BG1677" s="4"/>
      <c r="BH1677" s="4"/>
      <c r="BI1677" s="4"/>
      <c r="BJ1677" s="4"/>
      <c r="BK1677" s="4"/>
      <c r="BL1677" s="4"/>
      <c r="BM1677" s="4"/>
      <c r="BN1677" s="4"/>
      <c r="BO1677" s="4"/>
      <c r="BP1677" s="4"/>
      <c r="BQ1677" s="4"/>
      <c r="BR1677" s="4"/>
      <c r="BS1677" s="4"/>
      <c r="BT1677" s="4"/>
      <c r="BU1677" s="4"/>
      <c r="BV1677" s="4"/>
      <c r="BW1677" s="4"/>
      <c r="BX1677" s="4"/>
      <c r="BY1677" s="4"/>
      <c r="BZ1677" s="4"/>
      <c r="CA1677" s="4"/>
      <c r="CB1677" s="4"/>
      <c r="CC1677" s="4"/>
      <c r="CD1677" s="4"/>
      <c r="CE1677" s="4"/>
      <c r="CF1677" s="4"/>
      <c r="CG1677" s="4"/>
      <c r="CH1677" s="4"/>
      <c r="CI1677" s="4"/>
      <c r="CJ1677" s="4"/>
      <c r="CK1677" s="4"/>
      <c r="CL1677" s="4"/>
      <c r="CM1677" s="4"/>
      <c r="CN1677" s="4"/>
      <c r="CO1677" s="4"/>
      <c r="CP1677" s="4"/>
      <c r="CQ1677" s="4"/>
      <c r="CR1677" s="4"/>
      <c r="CS1677" s="4"/>
      <c r="CT1677" s="4"/>
      <c r="CU1677" s="4"/>
      <c r="CV1677" s="4"/>
      <c r="CW1677" s="4"/>
      <c r="CX1677" s="4"/>
      <c r="CY1677" s="4"/>
      <c r="CZ1677" s="4"/>
      <c r="DA1677" s="4"/>
      <c r="DB1677" s="4"/>
      <c r="DC1677" s="4"/>
      <c r="DD1677" s="4"/>
      <c r="DE1677" s="4"/>
      <c r="DF1677" s="4"/>
      <c r="DG1677" s="4"/>
      <c r="DH1677" s="4"/>
      <c r="DI1677" s="4"/>
      <c r="DJ1677" s="4"/>
      <c r="DK1677" s="4"/>
      <c r="DL1677" s="4"/>
      <c r="DM1677" s="4"/>
      <c r="DN1677" s="4"/>
      <c r="DO1677" s="4"/>
      <c r="DP1677" s="4"/>
      <c r="DQ1677" s="4"/>
      <c r="DR1677" s="4"/>
    </row>
    <row r="1678" spans="1:122" x14ac:dyDescent="0.25">
      <c r="A1678" s="2" t="s">
        <v>15</v>
      </c>
      <c r="B1678" s="2" t="str">
        <f>"FES1162769770"</f>
        <v>FES1162769770</v>
      </c>
      <c r="C1678" s="2" t="s">
        <v>1190</v>
      </c>
      <c r="D1678" s="2">
        <v>1</v>
      </c>
      <c r="E1678" s="2" t="str">
        <f>"2170756994"</f>
        <v>2170756994</v>
      </c>
      <c r="F1678" s="2" t="s">
        <v>17</v>
      </c>
      <c r="G1678" s="2" t="s">
        <v>18</v>
      </c>
      <c r="H1678" s="2" t="s">
        <v>19</v>
      </c>
      <c r="I1678" s="2" t="s">
        <v>20</v>
      </c>
      <c r="J1678" s="2" t="s">
        <v>380</v>
      </c>
      <c r="K1678" s="2" t="s">
        <v>1266</v>
      </c>
      <c r="L1678" s="3">
        <v>0.36736111111111108</v>
      </c>
      <c r="M1678" s="2" t="s">
        <v>1370</v>
      </c>
      <c r="N1678" s="2" t="s">
        <v>500</v>
      </c>
      <c r="O1678" s="2"/>
      <c r="P1678" s="4"/>
      <c r="Q1678" s="4"/>
      <c r="R1678" s="4"/>
      <c r="S1678" s="4"/>
      <c r="T1678" s="4"/>
      <c r="U1678" s="4"/>
      <c r="V1678" s="4"/>
      <c r="W1678" s="4"/>
      <c r="X1678" s="4"/>
      <c r="Y1678" s="4"/>
      <c r="Z1678" s="4"/>
      <c r="AA1678" s="4"/>
      <c r="AB1678" s="4"/>
      <c r="AC1678" s="4"/>
      <c r="AD1678" s="4"/>
      <c r="AE1678" s="4"/>
      <c r="AF1678" s="4"/>
      <c r="AG1678" s="4"/>
      <c r="AH1678" s="4"/>
      <c r="AI1678" s="4"/>
      <c r="AJ1678" s="4"/>
      <c r="AK1678" s="4"/>
      <c r="AL1678" s="4"/>
      <c r="AM1678" s="4"/>
      <c r="AN1678" s="4"/>
      <c r="AO1678" s="4"/>
      <c r="AP1678" s="4"/>
      <c r="AQ1678" s="4"/>
      <c r="AR1678" s="4"/>
      <c r="AS1678" s="4"/>
      <c r="AT1678" s="4"/>
      <c r="AU1678" s="4"/>
      <c r="AV1678" s="4"/>
      <c r="AW1678" s="4"/>
      <c r="AX1678" s="4"/>
      <c r="AY1678" s="4"/>
      <c r="AZ1678" s="4"/>
      <c r="BA1678" s="4"/>
      <c r="BB1678" s="4"/>
      <c r="BC1678" s="4"/>
      <c r="BD1678" s="4"/>
      <c r="BE1678" s="4"/>
      <c r="BF1678" s="4"/>
      <c r="BG1678" s="4"/>
      <c r="BH1678" s="4"/>
      <c r="BI1678" s="4"/>
      <c r="BJ1678" s="4"/>
      <c r="BK1678" s="4"/>
      <c r="BL1678" s="4"/>
      <c r="BM1678" s="4"/>
      <c r="BN1678" s="4"/>
      <c r="BO1678" s="4"/>
      <c r="BP1678" s="4"/>
      <c r="BQ1678" s="4"/>
      <c r="BR1678" s="4"/>
      <c r="BS1678" s="4"/>
      <c r="BT1678" s="4"/>
      <c r="BU1678" s="4"/>
      <c r="BV1678" s="4"/>
      <c r="BW1678" s="4"/>
      <c r="BX1678" s="4"/>
      <c r="BY1678" s="4"/>
      <c r="BZ1678" s="4"/>
      <c r="CA1678" s="4"/>
      <c r="CB1678" s="4"/>
      <c r="CC1678" s="4"/>
      <c r="CD1678" s="4"/>
      <c r="CE1678" s="4"/>
      <c r="CF1678" s="4"/>
      <c r="CG1678" s="4"/>
      <c r="CH1678" s="4"/>
      <c r="CI1678" s="4"/>
      <c r="CJ1678" s="4"/>
      <c r="CK1678" s="4"/>
      <c r="CL1678" s="4"/>
      <c r="CM1678" s="4"/>
      <c r="CN1678" s="4"/>
      <c r="CO1678" s="4"/>
      <c r="CP1678" s="4"/>
      <c r="CQ1678" s="4"/>
      <c r="CR1678" s="4"/>
      <c r="CS1678" s="4"/>
      <c r="CT1678" s="4"/>
      <c r="CU1678" s="4"/>
      <c r="CV1678" s="4"/>
      <c r="CW1678" s="4"/>
      <c r="CX1678" s="4"/>
      <c r="CY1678" s="4"/>
      <c r="CZ1678" s="4"/>
      <c r="DA1678" s="4"/>
      <c r="DB1678" s="4"/>
      <c r="DC1678" s="4"/>
      <c r="DD1678" s="4"/>
      <c r="DE1678" s="4"/>
      <c r="DF1678" s="4"/>
      <c r="DG1678" s="4"/>
      <c r="DH1678" s="4"/>
      <c r="DI1678" s="4"/>
      <c r="DJ1678" s="4"/>
      <c r="DK1678" s="4"/>
      <c r="DL1678" s="4"/>
      <c r="DM1678" s="4"/>
      <c r="DN1678" s="4"/>
      <c r="DO1678" s="4"/>
      <c r="DP1678" s="4"/>
      <c r="DQ1678" s="4"/>
      <c r="DR1678" s="4"/>
    </row>
    <row r="1679" spans="1:122" x14ac:dyDescent="0.25">
      <c r="A1679" s="2" t="s">
        <v>15</v>
      </c>
      <c r="B1679" s="2" t="str">
        <f>"FES1162769860"</f>
        <v>FES1162769860</v>
      </c>
      <c r="C1679" s="2" t="s">
        <v>1190</v>
      </c>
      <c r="D1679" s="2">
        <v>1</v>
      </c>
      <c r="E1679" s="2" t="str">
        <f>"2170757154"</f>
        <v>2170757154</v>
      </c>
      <c r="F1679" s="2" t="s">
        <v>17</v>
      </c>
      <c r="G1679" s="2" t="s">
        <v>18</v>
      </c>
      <c r="H1679" s="2" t="s">
        <v>18</v>
      </c>
      <c r="I1679" s="2" t="s">
        <v>290</v>
      </c>
      <c r="J1679" s="2" t="s">
        <v>1309</v>
      </c>
      <c r="K1679" s="2" t="s">
        <v>1266</v>
      </c>
      <c r="L1679" s="3">
        <v>0.375</v>
      </c>
      <c r="M1679" s="2" t="s">
        <v>1371</v>
      </c>
      <c r="N1679" s="2" t="s">
        <v>500</v>
      </c>
      <c r="O1679" s="2"/>
      <c r="P1679" s="4"/>
      <c r="Q1679" s="4"/>
      <c r="R1679" s="4"/>
      <c r="S1679" s="4"/>
      <c r="T1679" s="4"/>
      <c r="U1679" s="4"/>
      <c r="V1679" s="4"/>
      <c r="W1679" s="4"/>
      <c r="X1679" s="4"/>
      <c r="Y1679" s="4"/>
      <c r="Z1679" s="4"/>
      <c r="AA1679" s="4"/>
      <c r="AB1679" s="4"/>
      <c r="AC1679" s="4"/>
      <c r="AD1679" s="4"/>
      <c r="AE1679" s="4"/>
      <c r="AF1679" s="4"/>
      <c r="AG1679" s="4"/>
      <c r="AH1679" s="4"/>
      <c r="AI1679" s="4"/>
      <c r="AJ1679" s="4"/>
      <c r="AK1679" s="4"/>
      <c r="AL1679" s="4"/>
      <c r="AM1679" s="4"/>
      <c r="AN1679" s="4"/>
      <c r="AO1679" s="4"/>
      <c r="AP1679" s="4"/>
      <c r="AQ1679" s="4"/>
      <c r="AR1679" s="4"/>
      <c r="AS1679" s="4"/>
      <c r="AT1679" s="4"/>
      <c r="AU1679" s="4"/>
      <c r="AV1679" s="4"/>
      <c r="AW1679" s="4"/>
      <c r="AX1679" s="4"/>
      <c r="AY1679" s="4"/>
      <c r="AZ1679" s="4"/>
      <c r="BA1679" s="4"/>
      <c r="BB1679" s="4"/>
      <c r="BC1679" s="4"/>
      <c r="BD1679" s="4"/>
      <c r="BE1679" s="4"/>
      <c r="BF1679" s="4"/>
      <c r="BG1679" s="4"/>
      <c r="BH1679" s="4"/>
      <c r="BI1679" s="4"/>
      <c r="BJ1679" s="4"/>
      <c r="BK1679" s="4"/>
      <c r="BL1679" s="4"/>
      <c r="BM1679" s="4"/>
      <c r="BN1679" s="4"/>
      <c r="BO1679" s="4"/>
      <c r="BP1679" s="4"/>
      <c r="BQ1679" s="4"/>
      <c r="BR1679" s="4"/>
      <c r="BS1679" s="4"/>
      <c r="BT1679" s="4"/>
      <c r="BU1679" s="4"/>
      <c r="BV1679" s="4"/>
      <c r="BW1679" s="4"/>
      <c r="BX1679" s="4"/>
      <c r="BY1679" s="4"/>
      <c r="BZ1679" s="4"/>
      <c r="CA1679" s="4"/>
      <c r="CB1679" s="4"/>
      <c r="CC1679" s="4"/>
      <c r="CD1679" s="4"/>
      <c r="CE1679" s="4"/>
      <c r="CF1679" s="4"/>
      <c r="CG1679" s="4"/>
      <c r="CH1679" s="4"/>
      <c r="CI1679" s="4"/>
      <c r="CJ1679" s="4"/>
      <c r="CK1679" s="4"/>
      <c r="CL1679" s="4"/>
      <c r="CM1679" s="4"/>
      <c r="CN1679" s="4"/>
      <c r="CO1679" s="4"/>
      <c r="CP1679" s="4"/>
      <c r="CQ1679" s="4"/>
      <c r="CR1679" s="4"/>
      <c r="CS1679" s="4"/>
      <c r="CT1679" s="4"/>
      <c r="CU1679" s="4"/>
      <c r="CV1679" s="4"/>
      <c r="CW1679" s="4"/>
      <c r="CX1679" s="4"/>
      <c r="CY1679" s="4"/>
      <c r="CZ1679" s="4"/>
      <c r="DA1679" s="4"/>
      <c r="DB1679" s="4"/>
      <c r="DC1679" s="4"/>
      <c r="DD1679" s="4"/>
      <c r="DE1679" s="4"/>
      <c r="DF1679" s="4"/>
      <c r="DG1679" s="4"/>
      <c r="DH1679" s="4"/>
      <c r="DI1679" s="4"/>
      <c r="DJ1679" s="4"/>
      <c r="DK1679" s="4"/>
      <c r="DL1679" s="4"/>
      <c r="DM1679" s="4"/>
      <c r="DN1679" s="4"/>
      <c r="DO1679" s="4"/>
      <c r="DP1679" s="4"/>
      <c r="DQ1679" s="4"/>
      <c r="DR1679" s="4"/>
    </row>
    <row r="1680" spans="1:122" x14ac:dyDescent="0.25">
      <c r="A1680" s="2" t="s">
        <v>15</v>
      </c>
      <c r="B1680" s="2" t="str">
        <f>"FES1162769748"</f>
        <v>FES1162769748</v>
      </c>
      <c r="C1680" s="2" t="s">
        <v>1190</v>
      </c>
      <c r="D1680" s="2">
        <v>1</v>
      </c>
      <c r="E1680" s="2" t="str">
        <f>"2170756949"</f>
        <v>2170756949</v>
      </c>
      <c r="F1680" s="2" t="s">
        <v>17</v>
      </c>
      <c r="G1680" s="2" t="s">
        <v>18</v>
      </c>
      <c r="H1680" s="2" t="s">
        <v>19</v>
      </c>
      <c r="I1680" s="2" t="s">
        <v>136</v>
      </c>
      <c r="J1680" s="2" t="s">
        <v>137</v>
      </c>
      <c r="K1680" s="2" t="s">
        <v>1266</v>
      </c>
      <c r="L1680" s="3">
        <v>0.55277777777777781</v>
      </c>
      <c r="M1680" s="2" t="s">
        <v>137</v>
      </c>
      <c r="N1680" s="2" t="s">
        <v>500</v>
      </c>
      <c r="O1680" s="2"/>
      <c r="P1680" s="4"/>
      <c r="Q1680" s="4"/>
      <c r="R1680" s="4"/>
      <c r="S1680" s="4"/>
      <c r="T1680" s="4"/>
      <c r="U1680" s="4"/>
      <c r="V1680" s="4"/>
      <c r="W1680" s="4"/>
      <c r="X1680" s="4"/>
      <c r="Y1680" s="4"/>
      <c r="Z1680" s="4"/>
      <c r="AA1680" s="4"/>
      <c r="AB1680" s="4"/>
      <c r="AC1680" s="4"/>
      <c r="AD1680" s="4"/>
      <c r="AE1680" s="4"/>
      <c r="AF1680" s="4"/>
      <c r="AG1680" s="4"/>
      <c r="AH1680" s="4"/>
      <c r="AI1680" s="4"/>
      <c r="AJ1680" s="4"/>
      <c r="AK1680" s="4"/>
      <c r="AL1680" s="4"/>
      <c r="AM1680" s="4"/>
      <c r="AN1680" s="4"/>
      <c r="AO1680" s="4"/>
      <c r="AP1680" s="4"/>
      <c r="AQ1680" s="4"/>
      <c r="AR1680" s="4"/>
      <c r="AS1680" s="4"/>
      <c r="AT1680" s="4"/>
      <c r="AU1680" s="4"/>
      <c r="AV1680" s="4"/>
      <c r="AW1680" s="4"/>
      <c r="AX1680" s="4"/>
      <c r="AY1680" s="4"/>
      <c r="AZ1680" s="4"/>
      <c r="BA1680" s="4"/>
      <c r="BB1680" s="4"/>
      <c r="BC1680" s="4"/>
      <c r="BD1680" s="4"/>
      <c r="BE1680" s="4"/>
      <c r="BF1680" s="4"/>
      <c r="BG1680" s="4"/>
      <c r="BH1680" s="4"/>
      <c r="BI1680" s="4"/>
      <c r="BJ1680" s="4"/>
      <c r="BK1680" s="4"/>
      <c r="BL1680" s="4"/>
      <c r="BM1680" s="4"/>
      <c r="BN1680" s="4"/>
      <c r="BO1680" s="4"/>
      <c r="BP1680" s="4"/>
      <c r="BQ1680" s="4"/>
      <c r="BR1680" s="4"/>
      <c r="BS1680" s="4"/>
      <c r="BT1680" s="4"/>
      <c r="BU1680" s="4"/>
      <c r="BV1680" s="4"/>
      <c r="BW1680" s="4"/>
      <c r="BX1680" s="4"/>
      <c r="BY1680" s="4"/>
      <c r="BZ1680" s="4"/>
      <c r="CA1680" s="4"/>
      <c r="CB1680" s="4"/>
      <c r="CC1680" s="4"/>
      <c r="CD1680" s="4"/>
      <c r="CE1680" s="4"/>
      <c r="CF1680" s="4"/>
      <c r="CG1680" s="4"/>
      <c r="CH1680" s="4"/>
      <c r="CI1680" s="4"/>
      <c r="CJ1680" s="4"/>
      <c r="CK1680" s="4"/>
      <c r="CL1680" s="4"/>
      <c r="CM1680" s="4"/>
      <c r="CN1680" s="4"/>
      <c r="CO1680" s="4"/>
      <c r="CP1680" s="4"/>
      <c r="CQ1680" s="4"/>
      <c r="CR1680" s="4"/>
      <c r="CS1680" s="4"/>
      <c r="CT1680" s="4"/>
      <c r="CU1680" s="4"/>
      <c r="CV1680" s="4"/>
      <c r="CW1680" s="4"/>
      <c r="CX1680" s="4"/>
      <c r="CY1680" s="4"/>
      <c r="CZ1680" s="4"/>
      <c r="DA1680" s="4"/>
      <c r="DB1680" s="4"/>
      <c r="DC1680" s="4"/>
      <c r="DD1680" s="4"/>
      <c r="DE1680" s="4"/>
      <c r="DF1680" s="4"/>
      <c r="DG1680" s="4"/>
      <c r="DH1680" s="4"/>
      <c r="DI1680" s="4"/>
      <c r="DJ1680" s="4"/>
      <c r="DK1680" s="4"/>
      <c r="DL1680" s="4"/>
      <c r="DM1680" s="4"/>
      <c r="DN1680" s="4"/>
      <c r="DO1680" s="4"/>
      <c r="DP1680" s="4"/>
      <c r="DQ1680" s="4"/>
      <c r="DR1680" s="4"/>
    </row>
    <row r="1681" spans="1:122" x14ac:dyDescent="0.25">
      <c r="A1681" s="2" t="s">
        <v>15</v>
      </c>
      <c r="B1681" s="2" t="str">
        <f>"FES1162769511"</f>
        <v>FES1162769511</v>
      </c>
      <c r="C1681" s="2" t="s">
        <v>1190</v>
      </c>
      <c r="D1681" s="2">
        <v>1</v>
      </c>
      <c r="E1681" s="2" t="str">
        <f>"2170755405"</f>
        <v>2170755405</v>
      </c>
      <c r="F1681" s="2" t="s">
        <v>17</v>
      </c>
      <c r="G1681" s="2" t="s">
        <v>18</v>
      </c>
      <c r="H1681" s="2" t="s">
        <v>33</v>
      </c>
      <c r="I1681" s="2" t="s">
        <v>34</v>
      </c>
      <c r="J1681" s="2" t="s">
        <v>868</v>
      </c>
      <c r="K1681" s="2" t="s">
        <v>1266</v>
      </c>
      <c r="L1681" s="3">
        <v>0.43333333333333335</v>
      </c>
      <c r="M1681" s="2" t="s">
        <v>1372</v>
      </c>
      <c r="N1681" s="2" t="s">
        <v>500</v>
      </c>
      <c r="O1681" s="2"/>
      <c r="P1681" s="4"/>
      <c r="Q1681" s="4"/>
      <c r="R1681" s="4"/>
      <c r="S1681" s="4"/>
      <c r="T1681" s="4"/>
      <c r="U1681" s="4"/>
      <c r="V1681" s="4"/>
      <c r="W1681" s="4"/>
      <c r="X1681" s="4"/>
      <c r="Y1681" s="4"/>
      <c r="Z1681" s="4"/>
      <c r="AA1681" s="4"/>
      <c r="AB1681" s="4"/>
      <c r="AC1681" s="4"/>
      <c r="AD1681" s="4"/>
      <c r="AE1681" s="4"/>
      <c r="AF1681" s="4"/>
      <c r="AG1681" s="4"/>
      <c r="AH1681" s="4"/>
      <c r="AI1681" s="4"/>
      <c r="AJ1681" s="4"/>
      <c r="AK1681" s="4"/>
      <c r="AL1681" s="4"/>
      <c r="AM1681" s="4"/>
      <c r="AN1681" s="4"/>
      <c r="AO1681" s="4"/>
      <c r="AP1681" s="4"/>
      <c r="AQ1681" s="4"/>
      <c r="AR1681" s="4"/>
      <c r="AS1681" s="4"/>
      <c r="AT1681" s="4"/>
      <c r="AU1681" s="4"/>
      <c r="AV1681" s="4"/>
      <c r="AW1681" s="4"/>
      <c r="AX1681" s="4"/>
      <c r="AY1681" s="4"/>
      <c r="AZ1681" s="4"/>
      <c r="BA1681" s="4"/>
      <c r="BB1681" s="4"/>
      <c r="BC1681" s="4"/>
      <c r="BD1681" s="4"/>
      <c r="BE1681" s="4"/>
      <c r="BF1681" s="4"/>
      <c r="BG1681" s="4"/>
      <c r="BH1681" s="4"/>
      <c r="BI1681" s="4"/>
      <c r="BJ1681" s="4"/>
      <c r="BK1681" s="4"/>
      <c r="BL1681" s="4"/>
      <c r="BM1681" s="4"/>
      <c r="BN1681" s="4"/>
      <c r="BO1681" s="4"/>
      <c r="BP1681" s="4"/>
      <c r="BQ1681" s="4"/>
      <c r="BR1681" s="4"/>
      <c r="BS1681" s="4"/>
      <c r="BT1681" s="4"/>
      <c r="BU1681" s="4"/>
      <c r="BV1681" s="4"/>
      <c r="BW1681" s="4"/>
      <c r="BX1681" s="4"/>
      <c r="BY1681" s="4"/>
      <c r="BZ1681" s="4"/>
      <c r="CA1681" s="4"/>
      <c r="CB1681" s="4"/>
      <c r="CC1681" s="4"/>
      <c r="CD1681" s="4"/>
      <c r="CE1681" s="4"/>
      <c r="CF1681" s="4"/>
      <c r="CG1681" s="4"/>
      <c r="CH1681" s="4"/>
      <c r="CI1681" s="4"/>
      <c r="CJ1681" s="4"/>
      <c r="CK1681" s="4"/>
      <c r="CL1681" s="4"/>
      <c r="CM1681" s="4"/>
      <c r="CN1681" s="4"/>
      <c r="CO1681" s="4"/>
      <c r="CP1681" s="4"/>
      <c r="CQ1681" s="4"/>
      <c r="CR1681" s="4"/>
      <c r="CS1681" s="4"/>
      <c r="CT1681" s="4"/>
      <c r="CU1681" s="4"/>
      <c r="CV1681" s="4"/>
      <c r="CW1681" s="4"/>
      <c r="CX1681" s="4"/>
      <c r="CY1681" s="4"/>
      <c r="CZ1681" s="4"/>
      <c r="DA1681" s="4"/>
      <c r="DB1681" s="4"/>
      <c r="DC1681" s="4"/>
      <c r="DD1681" s="4"/>
      <c r="DE1681" s="4"/>
      <c r="DF1681" s="4"/>
      <c r="DG1681" s="4"/>
      <c r="DH1681" s="4"/>
      <c r="DI1681" s="4"/>
      <c r="DJ1681" s="4"/>
      <c r="DK1681" s="4"/>
      <c r="DL1681" s="4"/>
      <c r="DM1681" s="4"/>
      <c r="DN1681" s="4"/>
      <c r="DO1681" s="4"/>
      <c r="DP1681" s="4"/>
      <c r="DQ1681" s="4"/>
      <c r="DR1681" s="4"/>
    </row>
    <row r="1682" spans="1:122" x14ac:dyDescent="0.25">
      <c r="A1682" s="2" t="s">
        <v>15</v>
      </c>
      <c r="B1682" s="2" t="str">
        <f>"FES1162769711"</f>
        <v>FES1162769711</v>
      </c>
      <c r="C1682" s="2" t="s">
        <v>1190</v>
      </c>
      <c r="D1682" s="2">
        <v>1</v>
      </c>
      <c r="E1682" s="2" t="str">
        <f>"2170756858"</f>
        <v>2170756858</v>
      </c>
      <c r="F1682" s="2" t="s">
        <v>17</v>
      </c>
      <c r="G1682" s="2" t="s">
        <v>18</v>
      </c>
      <c r="H1682" s="2" t="s">
        <v>19</v>
      </c>
      <c r="I1682" s="2" t="s">
        <v>20</v>
      </c>
      <c r="J1682" s="2" t="s">
        <v>106</v>
      </c>
      <c r="K1682" s="2" t="s">
        <v>1266</v>
      </c>
      <c r="L1682" s="3">
        <v>0.3347222222222222</v>
      </c>
      <c r="M1682" s="2" t="s">
        <v>472</v>
      </c>
      <c r="N1682" s="2" t="s">
        <v>500</v>
      </c>
      <c r="O1682" s="2"/>
      <c r="P1682" s="4"/>
      <c r="Q1682" s="4"/>
      <c r="R1682" s="4"/>
      <c r="S1682" s="4"/>
      <c r="T1682" s="4"/>
      <c r="U1682" s="4"/>
      <c r="V1682" s="4"/>
      <c r="W1682" s="4"/>
      <c r="X1682" s="4"/>
      <c r="Y1682" s="4"/>
      <c r="Z1682" s="4"/>
      <c r="AA1682" s="4"/>
      <c r="AB1682" s="4"/>
      <c r="AC1682" s="4"/>
      <c r="AD1682" s="4"/>
      <c r="AE1682" s="4"/>
      <c r="AF1682" s="4"/>
      <c r="AG1682" s="4"/>
      <c r="AH1682" s="4"/>
      <c r="AI1682" s="4"/>
      <c r="AJ1682" s="4"/>
      <c r="AK1682" s="4"/>
      <c r="AL1682" s="4"/>
      <c r="AM1682" s="4"/>
      <c r="AN1682" s="4"/>
      <c r="AO1682" s="4"/>
      <c r="AP1682" s="4"/>
      <c r="AQ1682" s="4"/>
      <c r="AR1682" s="4"/>
      <c r="AS1682" s="4"/>
      <c r="AT1682" s="4"/>
      <c r="AU1682" s="4"/>
      <c r="AV1682" s="4"/>
      <c r="AW1682" s="4"/>
      <c r="AX1682" s="4"/>
      <c r="AY1682" s="4"/>
      <c r="AZ1682" s="4"/>
      <c r="BA1682" s="4"/>
      <c r="BB1682" s="4"/>
      <c r="BC1682" s="4"/>
      <c r="BD1682" s="4"/>
      <c r="BE1682" s="4"/>
      <c r="BF1682" s="4"/>
      <c r="BG1682" s="4"/>
      <c r="BH1682" s="4"/>
      <c r="BI1682" s="4"/>
      <c r="BJ1682" s="4"/>
      <c r="BK1682" s="4"/>
      <c r="BL1682" s="4"/>
      <c r="BM1682" s="4"/>
      <c r="BN1682" s="4"/>
      <c r="BO1682" s="4"/>
      <c r="BP1682" s="4"/>
      <c r="BQ1682" s="4"/>
      <c r="BR1682" s="4"/>
      <c r="BS1682" s="4"/>
      <c r="BT1682" s="4"/>
      <c r="BU1682" s="4"/>
      <c r="BV1682" s="4"/>
      <c r="BW1682" s="4"/>
      <c r="BX1682" s="4"/>
      <c r="BY1682" s="4"/>
      <c r="BZ1682" s="4"/>
      <c r="CA1682" s="4"/>
      <c r="CB1682" s="4"/>
      <c r="CC1682" s="4"/>
      <c r="CD1682" s="4"/>
      <c r="CE1682" s="4"/>
      <c r="CF1682" s="4"/>
      <c r="CG1682" s="4"/>
      <c r="CH1682" s="4"/>
      <c r="CI1682" s="4"/>
      <c r="CJ1682" s="4"/>
      <c r="CK1682" s="4"/>
      <c r="CL1682" s="4"/>
      <c r="CM1682" s="4"/>
      <c r="CN1682" s="4"/>
      <c r="CO1682" s="4"/>
      <c r="CP1682" s="4"/>
      <c r="CQ1682" s="4"/>
      <c r="CR1682" s="4"/>
      <c r="CS1682" s="4"/>
      <c r="CT1682" s="4"/>
      <c r="CU1682" s="4"/>
      <c r="CV1682" s="4"/>
      <c r="CW1682" s="4"/>
      <c r="CX1682" s="4"/>
      <c r="CY1682" s="4"/>
      <c r="CZ1682" s="4"/>
      <c r="DA1682" s="4"/>
      <c r="DB1682" s="4"/>
      <c r="DC1682" s="4"/>
      <c r="DD1682" s="4"/>
      <c r="DE1682" s="4"/>
      <c r="DF1682" s="4"/>
      <c r="DG1682" s="4"/>
      <c r="DH1682" s="4"/>
      <c r="DI1682" s="4"/>
      <c r="DJ1682" s="4"/>
      <c r="DK1682" s="4"/>
      <c r="DL1682" s="4"/>
      <c r="DM1682" s="4"/>
      <c r="DN1682" s="4"/>
      <c r="DO1682" s="4"/>
      <c r="DP1682" s="4"/>
      <c r="DQ1682" s="4"/>
      <c r="DR1682" s="4"/>
    </row>
    <row r="1683" spans="1:122" x14ac:dyDescent="0.25">
      <c r="A1683" s="2" t="s">
        <v>15</v>
      </c>
      <c r="B1683" s="2" t="str">
        <f>"FES1162769478"</f>
        <v>FES1162769478</v>
      </c>
      <c r="C1683" s="2" t="s">
        <v>1190</v>
      </c>
      <c r="D1683" s="2">
        <v>1</v>
      </c>
      <c r="E1683" s="2" t="str">
        <f>"2170754743"</f>
        <v>2170754743</v>
      </c>
      <c r="F1683" s="2" t="s">
        <v>17</v>
      </c>
      <c r="G1683" s="2" t="s">
        <v>18</v>
      </c>
      <c r="H1683" s="2" t="s">
        <v>36</v>
      </c>
      <c r="I1683" s="2" t="s">
        <v>37</v>
      </c>
      <c r="J1683" s="2" t="s">
        <v>403</v>
      </c>
      <c r="K1683" s="2" t="s">
        <v>1266</v>
      </c>
      <c r="L1683" s="3">
        <v>0.4368055555555555</v>
      </c>
      <c r="M1683" s="2" t="s">
        <v>1373</v>
      </c>
      <c r="N1683" s="2" t="s">
        <v>500</v>
      </c>
      <c r="O1683" s="2"/>
      <c r="P1683" s="4"/>
      <c r="Q1683" s="4"/>
      <c r="R1683" s="4"/>
      <c r="S1683" s="4"/>
      <c r="T1683" s="4"/>
      <c r="U1683" s="4"/>
      <c r="V1683" s="4"/>
      <c r="W1683" s="4"/>
      <c r="X1683" s="4"/>
      <c r="Y1683" s="4"/>
      <c r="Z1683" s="4"/>
      <c r="AA1683" s="4"/>
      <c r="AB1683" s="4"/>
      <c r="AC1683" s="4"/>
      <c r="AD1683" s="4"/>
      <c r="AE1683" s="4"/>
      <c r="AF1683" s="4"/>
      <c r="AG1683" s="4"/>
      <c r="AH1683" s="4"/>
      <c r="AI1683" s="4"/>
      <c r="AJ1683" s="4"/>
      <c r="AK1683" s="4"/>
      <c r="AL1683" s="4"/>
      <c r="AM1683" s="4"/>
      <c r="AN1683" s="4"/>
      <c r="AO1683" s="4"/>
      <c r="AP1683" s="4"/>
      <c r="AQ1683" s="4"/>
      <c r="AR1683" s="4"/>
      <c r="AS1683" s="4"/>
      <c r="AT1683" s="4"/>
      <c r="AU1683" s="4"/>
      <c r="AV1683" s="4"/>
      <c r="AW1683" s="4"/>
      <c r="AX1683" s="4"/>
      <c r="AY1683" s="4"/>
      <c r="AZ1683" s="4"/>
      <c r="BA1683" s="4"/>
      <c r="BB1683" s="4"/>
      <c r="BC1683" s="4"/>
      <c r="BD1683" s="4"/>
      <c r="BE1683" s="4"/>
      <c r="BF1683" s="4"/>
      <c r="BG1683" s="4"/>
      <c r="BH1683" s="4"/>
      <c r="BI1683" s="4"/>
      <c r="BJ1683" s="4"/>
      <c r="BK1683" s="4"/>
      <c r="BL1683" s="4"/>
      <c r="BM1683" s="4"/>
      <c r="BN1683" s="4"/>
      <c r="BO1683" s="4"/>
      <c r="BP1683" s="4"/>
      <c r="BQ1683" s="4"/>
      <c r="BR1683" s="4"/>
      <c r="BS1683" s="4"/>
      <c r="BT1683" s="4"/>
      <c r="BU1683" s="4"/>
      <c r="BV1683" s="4"/>
      <c r="BW1683" s="4"/>
      <c r="BX1683" s="4"/>
      <c r="BY1683" s="4"/>
      <c r="BZ1683" s="4"/>
      <c r="CA1683" s="4"/>
      <c r="CB1683" s="4"/>
      <c r="CC1683" s="4"/>
      <c r="CD1683" s="4"/>
      <c r="CE1683" s="4"/>
      <c r="CF1683" s="4"/>
      <c r="CG1683" s="4"/>
      <c r="CH1683" s="4"/>
      <c r="CI1683" s="4"/>
      <c r="CJ1683" s="4"/>
      <c r="CK1683" s="4"/>
      <c r="CL1683" s="4"/>
      <c r="CM1683" s="4"/>
      <c r="CN1683" s="4"/>
      <c r="CO1683" s="4"/>
      <c r="CP1683" s="4"/>
      <c r="CQ1683" s="4"/>
      <c r="CR1683" s="4"/>
      <c r="CS1683" s="4"/>
      <c r="CT1683" s="4"/>
      <c r="CU1683" s="4"/>
      <c r="CV1683" s="4"/>
      <c r="CW1683" s="4"/>
      <c r="CX1683" s="4"/>
      <c r="CY1683" s="4"/>
      <c r="CZ1683" s="4"/>
      <c r="DA1683" s="4"/>
      <c r="DB1683" s="4"/>
      <c r="DC1683" s="4"/>
      <c r="DD1683" s="4"/>
      <c r="DE1683" s="4"/>
      <c r="DF1683" s="4"/>
      <c r="DG1683" s="4"/>
      <c r="DH1683" s="4"/>
      <c r="DI1683" s="4"/>
      <c r="DJ1683" s="4"/>
      <c r="DK1683" s="4"/>
      <c r="DL1683" s="4"/>
      <c r="DM1683" s="4"/>
      <c r="DN1683" s="4"/>
      <c r="DO1683" s="4"/>
      <c r="DP1683" s="4"/>
      <c r="DQ1683" s="4"/>
      <c r="DR1683" s="4"/>
    </row>
    <row r="1684" spans="1:122" x14ac:dyDescent="0.25">
      <c r="A1684" s="2" t="s">
        <v>15</v>
      </c>
      <c r="B1684" s="2" t="str">
        <f>"FES1162769664"</f>
        <v>FES1162769664</v>
      </c>
      <c r="C1684" s="2" t="s">
        <v>1190</v>
      </c>
      <c r="D1684" s="2">
        <v>1</v>
      </c>
      <c r="E1684" s="2" t="str">
        <f>"2170756767"</f>
        <v>2170756767</v>
      </c>
      <c r="F1684" s="2" t="s">
        <v>17</v>
      </c>
      <c r="G1684" s="2" t="s">
        <v>18</v>
      </c>
      <c r="H1684" s="2" t="s">
        <v>19</v>
      </c>
      <c r="I1684" s="2" t="s">
        <v>114</v>
      </c>
      <c r="J1684" s="2" t="s">
        <v>1310</v>
      </c>
      <c r="K1684" s="2" t="s">
        <v>1266</v>
      </c>
      <c r="L1684" s="3">
        <v>0.59027777777777779</v>
      </c>
      <c r="M1684" s="2" t="s">
        <v>1374</v>
      </c>
      <c r="N1684" s="2" t="s">
        <v>500</v>
      </c>
      <c r="O1684" s="2"/>
      <c r="P1684" s="4"/>
      <c r="Q1684" s="4"/>
      <c r="R1684" s="4"/>
      <c r="S1684" s="4"/>
      <c r="T1684" s="4"/>
      <c r="U1684" s="4"/>
      <c r="V1684" s="4"/>
      <c r="W1684" s="4"/>
      <c r="X1684" s="4"/>
      <c r="Y1684" s="4"/>
      <c r="Z1684" s="4"/>
      <c r="AA1684" s="4"/>
      <c r="AB1684" s="4"/>
      <c r="AC1684" s="4"/>
      <c r="AD1684" s="4"/>
      <c r="AE1684" s="4"/>
      <c r="AF1684" s="4"/>
      <c r="AG1684" s="4"/>
      <c r="AH1684" s="4"/>
      <c r="AI1684" s="4"/>
      <c r="AJ1684" s="4"/>
      <c r="AK1684" s="4"/>
      <c r="AL1684" s="4"/>
      <c r="AM1684" s="4"/>
      <c r="AN1684" s="4"/>
      <c r="AO1684" s="4"/>
      <c r="AP1684" s="4"/>
      <c r="AQ1684" s="4"/>
      <c r="AR1684" s="4"/>
      <c r="AS1684" s="4"/>
      <c r="AT1684" s="4"/>
      <c r="AU1684" s="4"/>
      <c r="AV1684" s="4"/>
      <c r="AW1684" s="4"/>
      <c r="AX1684" s="4"/>
      <c r="AY1684" s="4"/>
      <c r="AZ1684" s="4"/>
      <c r="BA1684" s="4"/>
      <c r="BB1684" s="4"/>
      <c r="BC1684" s="4"/>
      <c r="BD1684" s="4"/>
      <c r="BE1684" s="4"/>
      <c r="BF1684" s="4"/>
      <c r="BG1684" s="4"/>
      <c r="BH1684" s="4"/>
      <c r="BI1684" s="4"/>
      <c r="BJ1684" s="4"/>
      <c r="BK1684" s="4"/>
      <c r="BL1684" s="4"/>
      <c r="BM1684" s="4"/>
      <c r="BN1684" s="4"/>
      <c r="BO1684" s="4"/>
      <c r="BP1684" s="4"/>
      <c r="BQ1684" s="4"/>
      <c r="BR1684" s="4"/>
      <c r="BS1684" s="4"/>
      <c r="BT1684" s="4"/>
      <c r="BU1684" s="4"/>
      <c r="BV1684" s="4"/>
      <c r="BW1684" s="4"/>
      <c r="BX1684" s="4"/>
      <c r="BY1684" s="4"/>
      <c r="BZ1684" s="4"/>
      <c r="CA1684" s="4"/>
      <c r="CB1684" s="4"/>
      <c r="CC1684" s="4"/>
      <c r="CD1684" s="4"/>
      <c r="CE1684" s="4"/>
      <c r="CF1684" s="4"/>
      <c r="CG1684" s="4"/>
      <c r="CH1684" s="4"/>
      <c r="CI1684" s="4"/>
      <c r="CJ1684" s="4"/>
      <c r="CK1684" s="4"/>
      <c r="CL1684" s="4"/>
      <c r="CM1684" s="4"/>
      <c r="CN1684" s="4"/>
      <c r="CO1684" s="4"/>
      <c r="CP1684" s="4"/>
      <c r="CQ1684" s="4"/>
      <c r="CR1684" s="4"/>
      <c r="CS1684" s="4"/>
      <c r="CT1684" s="4"/>
      <c r="CU1684" s="4"/>
      <c r="CV1684" s="4"/>
      <c r="CW1684" s="4"/>
      <c r="CX1684" s="4"/>
      <c r="CY1684" s="4"/>
      <c r="CZ1684" s="4"/>
      <c r="DA1684" s="4"/>
      <c r="DB1684" s="4"/>
      <c r="DC1684" s="4"/>
      <c r="DD1684" s="4"/>
      <c r="DE1684" s="4"/>
      <c r="DF1684" s="4"/>
      <c r="DG1684" s="4"/>
      <c r="DH1684" s="4"/>
      <c r="DI1684" s="4"/>
      <c r="DJ1684" s="4"/>
      <c r="DK1684" s="4"/>
      <c r="DL1684" s="4"/>
      <c r="DM1684" s="4"/>
      <c r="DN1684" s="4"/>
      <c r="DO1684" s="4"/>
      <c r="DP1684" s="4"/>
      <c r="DQ1684" s="4"/>
      <c r="DR1684" s="4"/>
    </row>
    <row r="1685" spans="1:122" x14ac:dyDescent="0.25">
      <c r="A1685" s="2" t="s">
        <v>15</v>
      </c>
      <c r="B1685" s="2" t="str">
        <f>"FES1162769640"</f>
        <v>FES1162769640</v>
      </c>
      <c r="C1685" s="2" t="s">
        <v>1190</v>
      </c>
      <c r="D1685" s="2">
        <v>1</v>
      </c>
      <c r="E1685" s="2" t="str">
        <f>"2170756724"</f>
        <v>2170756724</v>
      </c>
      <c r="F1685" s="2" t="s">
        <v>17</v>
      </c>
      <c r="G1685" s="2" t="s">
        <v>18</v>
      </c>
      <c r="H1685" s="2" t="s">
        <v>19</v>
      </c>
      <c r="I1685" s="2" t="s">
        <v>20</v>
      </c>
      <c r="J1685" s="2" t="s">
        <v>606</v>
      </c>
      <c r="K1685" s="2" t="s">
        <v>1266</v>
      </c>
      <c r="L1685" s="3">
        <v>0.44375000000000003</v>
      </c>
      <c r="M1685" s="2" t="s">
        <v>1283</v>
      </c>
      <c r="N1685" s="2" t="s">
        <v>500</v>
      </c>
      <c r="O1685" s="2"/>
      <c r="P1685" s="4"/>
      <c r="Q1685" s="4"/>
      <c r="R1685" s="4"/>
      <c r="S1685" s="4"/>
      <c r="T1685" s="4"/>
      <c r="U1685" s="4"/>
      <c r="V1685" s="4"/>
      <c r="W1685" s="4"/>
      <c r="X1685" s="4"/>
      <c r="Y1685" s="4"/>
      <c r="Z1685" s="4"/>
      <c r="AA1685" s="4"/>
      <c r="AB1685" s="4"/>
      <c r="AC1685" s="4"/>
      <c r="AD1685" s="4"/>
      <c r="AE1685" s="4"/>
      <c r="AF1685" s="4"/>
      <c r="AG1685" s="4"/>
      <c r="AH1685" s="4"/>
      <c r="AI1685" s="4"/>
      <c r="AJ1685" s="4"/>
      <c r="AK1685" s="4"/>
      <c r="AL1685" s="4"/>
      <c r="AM1685" s="4"/>
      <c r="AN1685" s="4"/>
      <c r="AO1685" s="4"/>
      <c r="AP1685" s="4"/>
      <c r="AQ1685" s="4"/>
      <c r="AR1685" s="4"/>
      <c r="AS1685" s="4"/>
      <c r="AT1685" s="4"/>
      <c r="AU1685" s="4"/>
      <c r="AV1685" s="4"/>
      <c r="AW1685" s="4"/>
      <c r="AX1685" s="4"/>
      <c r="AY1685" s="4"/>
      <c r="AZ1685" s="4"/>
      <c r="BA1685" s="4"/>
      <c r="BB1685" s="4"/>
      <c r="BC1685" s="4"/>
      <c r="BD1685" s="4"/>
      <c r="BE1685" s="4"/>
      <c r="BF1685" s="4"/>
      <c r="BG1685" s="4"/>
      <c r="BH1685" s="4"/>
      <c r="BI1685" s="4"/>
      <c r="BJ1685" s="4"/>
      <c r="BK1685" s="4"/>
      <c r="BL1685" s="4"/>
      <c r="BM1685" s="4"/>
      <c r="BN1685" s="4"/>
      <c r="BO1685" s="4"/>
      <c r="BP1685" s="4"/>
      <c r="BQ1685" s="4"/>
      <c r="BR1685" s="4"/>
      <c r="BS1685" s="4"/>
      <c r="BT1685" s="4"/>
      <c r="BU1685" s="4"/>
      <c r="BV1685" s="4"/>
      <c r="BW1685" s="4"/>
      <c r="BX1685" s="4"/>
      <c r="BY1685" s="4"/>
      <c r="BZ1685" s="4"/>
      <c r="CA1685" s="4"/>
      <c r="CB1685" s="4"/>
      <c r="CC1685" s="4"/>
      <c r="CD1685" s="4"/>
      <c r="CE1685" s="4"/>
      <c r="CF1685" s="4"/>
      <c r="CG1685" s="4"/>
      <c r="CH1685" s="4"/>
      <c r="CI1685" s="4"/>
      <c r="CJ1685" s="4"/>
      <c r="CK1685" s="4"/>
      <c r="CL1685" s="4"/>
      <c r="CM1685" s="4"/>
      <c r="CN1685" s="4"/>
      <c r="CO1685" s="4"/>
      <c r="CP1685" s="4"/>
      <c r="CQ1685" s="4"/>
      <c r="CR1685" s="4"/>
      <c r="CS1685" s="4"/>
      <c r="CT1685" s="4"/>
      <c r="CU1685" s="4"/>
      <c r="CV1685" s="4"/>
      <c r="CW1685" s="4"/>
      <c r="CX1685" s="4"/>
      <c r="CY1685" s="4"/>
      <c r="CZ1685" s="4"/>
      <c r="DA1685" s="4"/>
      <c r="DB1685" s="4"/>
      <c r="DC1685" s="4"/>
      <c r="DD1685" s="4"/>
      <c r="DE1685" s="4"/>
      <c r="DF1685" s="4"/>
      <c r="DG1685" s="4"/>
      <c r="DH1685" s="4"/>
      <c r="DI1685" s="4"/>
      <c r="DJ1685" s="4"/>
      <c r="DK1685" s="4"/>
      <c r="DL1685" s="4"/>
      <c r="DM1685" s="4"/>
      <c r="DN1685" s="4"/>
      <c r="DO1685" s="4"/>
      <c r="DP1685" s="4"/>
      <c r="DQ1685" s="4"/>
      <c r="DR1685" s="4"/>
    </row>
    <row r="1686" spans="1:122" x14ac:dyDescent="0.25">
      <c r="A1686" s="2" t="s">
        <v>15</v>
      </c>
      <c r="B1686" s="2" t="str">
        <f>"FES1162769458"</f>
        <v>FES1162769458</v>
      </c>
      <c r="C1686" s="2" t="s">
        <v>1190</v>
      </c>
      <c r="D1686" s="2">
        <v>1</v>
      </c>
      <c r="E1686" s="2" t="str">
        <f>"2170753137"</f>
        <v>2170753137</v>
      </c>
      <c r="F1686" s="2" t="s">
        <v>17</v>
      </c>
      <c r="G1686" s="2" t="s">
        <v>18</v>
      </c>
      <c r="H1686" s="2" t="s">
        <v>36</v>
      </c>
      <c r="I1686" s="2" t="s">
        <v>37</v>
      </c>
      <c r="J1686" s="2" t="s">
        <v>272</v>
      </c>
      <c r="K1686" s="2" t="s">
        <v>1266</v>
      </c>
      <c r="L1686" s="3">
        <v>0.40277777777777773</v>
      </c>
      <c r="M1686" s="2" t="s">
        <v>538</v>
      </c>
      <c r="N1686" s="2" t="s">
        <v>500</v>
      </c>
      <c r="O1686" s="2"/>
      <c r="P1686" s="4"/>
      <c r="Q1686" s="4"/>
      <c r="R1686" s="4"/>
      <c r="S1686" s="4"/>
      <c r="T1686" s="4"/>
      <c r="U1686" s="4"/>
      <c r="V1686" s="4"/>
      <c r="W1686" s="4"/>
      <c r="X1686" s="4"/>
      <c r="Y1686" s="4"/>
      <c r="Z1686" s="4"/>
      <c r="AA1686" s="4"/>
      <c r="AB1686" s="4"/>
      <c r="AC1686" s="4"/>
      <c r="AD1686" s="4"/>
      <c r="AE1686" s="4"/>
      <c r="AF1686" s="4"/>
      <c r="AG1686" s="4"/>
      <c r="AH1686" s="4"/>
      <c r="AI1686" s="4"/>
      <c r="AJ1686" s="4"/>
      <c r="AK1686" s="4"/>
      <c r="AL1686" s="4"/>
      <c r="AM1686" s="4"/>
      <c r="AN1686" s="4"/>
      <c r="AO1686" s="4"/>
      <c r="AP1686" s="4"/>
      <c r="AQ1686" s="4"/>
      <c r="AR1686" s="4"/>
      <c r="AS1686" s="4"/>
      <c r="AT1686" s="4"/>
      <c r="AU1686" s="4"/>
      <c r="AV1686" s="4"/>
      <c r="AW1686" s="4"/>
      <c r="AX1686" s="4"/>
      <c r="AY1686" s="4"/>
      <c r="AZ1686" s="4"/>
      <c r="BA1686" s="4"/>
      <c r="BB1686" s="4"/>
      <c r="BC1686" s="4"/>
      <c r="BD1686" s="4"/>
      <c r="BE1686" s="4"/>
      <c r="BF1686" s="4"/>
      <c r="BG1686" s="4"/>
      <c r="BH1686" s="4"/>
      <c r="BI1686" s="4"/>
      <c r="BJ1686" s="4"/>
      <c r="BK1686" s="4"/>
      <c r="BL1686" s="4"/>
      <c r="BM1686" s="4"/>
      <c r="BN1686" s="4"/>
      <c r="BO1686" s="4"/>
      <c r="BP1686" s="4"/>
      <c r="BQ1686" s="4"/>
      <c r="BR1686" s="4"/>
      <c r="BS1686" s="4"/>
      <c r="BT1686" s="4"/>
      <c r="BU1686" s="4"/>
      <c r="BV1686" s="4"/>
      <c r="BW1686" s="4"/>
      <c r="BX1686" s="4"/>
      <c r="BY1686" s="4"/>
      <c r="BZ1686" s="4"/>
      <c r="CA1686" s="4"/>
      <c r="CB1686" s="4"/>
      <c r="CC1686" s="4"/>
      <c r="CD1686" s="4"/>
      <c r="CE1686" s="4"/>
      <c r="CF1686" s="4"/>
      <c r="CG1686" s="4"/>
      <c r="CH1686" s="4"/>
      <c r="CI1686" s="4"/>
      <c r="CJ1686" s="4"/>
      <c r="CK1686" s="4"/>
      <c r="CL1686" s="4"/>
      <c r="CM1686" s="4"/>
      <c r="CN1686" s="4"/>
      <c r="CO1686" s="4"/>
      <c r="CP1686" s="4"/>
      <c r="CQ1686" s="4"/>
      <c r="CR1686" s="4"/>
      <c r="CS1686" s="4"/>
      <c r="CT1686" s="4"/>
      <c r="CU1686" s="4"/>
      <c r="CV1686" s="4"/>
      <c r="CW1686" s="4"/>
      <c r="CX1686" s="4"/>
      <c r="CY1686" s="4"/>
      <c r="CZ1686" s="4"/>
      <c r="DA1686" s="4"/>
      <c r="DB1686" s="4"/>
      <c r="DC1686" s="4"/>
      <c r="DD1686" s="4"/>
      <c r="DE1686" s="4"/>
      <c r="DF1686" s="4"/>
      <c r="DG1686" s="4"/>
      <c r="DH1686" s="4"/>
      <c r="DI1686" s="4"/>
      <c r="DJ1686" s="4"/>
      <c r="DK1686" s="4"/>
      <c r="DL1686" s="4"/>
      <c r="DM1686" s="4"/>
      <c r="DN1686" s="4"/>
      <c r="DO1686" s="4"/>
      <c r="DP1686" s="4"/>
      <c r="DQ1686" s="4"/>
      <c r="DR1686" s="4"/>
    </row>
    <row r="1687" spans="1:122" x14ac:dyDescent="0.25">
      <c r="A1687" s="2" t="s">
        <v>15</v>
      </c>
      <c r="B1687" s="2" t="str">
        <f>"FES1162769532"</f>
        <v>FES1162769532</v>
      </c>
      <c r="C1687" s="2" t="s">
        <v>1190</v>
      </c>
      <c r="D1687" s="2">
        <v>1</v>
      </c>
      <c r="E1687" s="2" t="str">
        <f>"2170755882"</f>
        <v>2170755882</v>
      </c>
      <c r="F1687" s="2" t="s">
        <v>17</v>
      </c>
      <c r="G1687" s="2" t="s">
        <v>18</v>
      </c>
      <c r="H1687" s="2" t="s">
        <v>78</v>
      </c>
      <c r="I1687" s="2" t="s">
        <v>79</v>
      </c>
      <c r="J1687" s="2" t="s">
        <v>80</v>
      </c>
      <c r="K1687" s="2" t="s">
        <v>1266</v>
      </c>
      <c r="L1687" s="3">
        <v>0.67986111111111114</v>
      </c>
      <c r="M1687" s="2" t="s">
        <v>1330</v>
      </c>
      <c r="N1687" s="2" t="s">
        <v>500</v>
      </c>
      <c r="O1687" s="2"/>
      <c r="P1687" s="4"/>
      <c r="Q1687" s="4"/>
      <c r="R1687" s="4"/>
      <c r="S1687" s="4"/>
      <c r="T1687" s="4"/>
      <c r="U1687" s="4"/>
      <c r="V1687" s="4"/>
      <c r="W1687" s="4"/>
      <c r="X1687" s="4"/>
      <c r="Y1687" s="4"/>
      <c r="Z1687" s="4"/>
      <c r="AA1687" s="4"/>
      <c r="AB1687" s="4"/>
      <c r="AC1687" s="4"/>
      <c r="AD1687" s="4"/>
      <c r="AE1687" s="4"/>
      <c r="AF1687" s="4"/>
      <c r="AG1687" s="4"/>
      <c r="AH1687" s="4"/>
      <c r="AI1687" s="4"/>
      <c r="AJ1687" s="4"/>
      <c r="AK1687" s="4"/>
      <c r="AL1687" s="4"/>
      <c r="AM1687" s="4"/>
      <c r="AN1687" s="4"/>
      <c r="AO1687" s="4"/>
      <c r="AP1687" s="4"/>
      <c r="AQ1687" s="4"/>
      <c r="AR1687" s="4"/>
      <c r="AS1687" s="4"/>
      <c r="AT1687" s="4"/>
      <c r="AU1687" s="4"/>
      <c r="AV1687" s="4"/>
      <c r="AW1687" s="4"/>
      <c r="AX1687" s="4"/>
      <c r="AY1687" s="4"/>
      <c r="AZ1687" s="4"/>
      <c r="BA1687" s="4"/>
      <c r="BB1687" s="4"/>
      <c r="BC1687" s="4"/>
      <c r="BD1687" s="4"/>
      <c r="BE1687" s="4"/>
      <c r="BF1687" s="4"/>
      <c r="BG1687" s="4"/>
      <c r="BH1687" s="4"/>
      <c r="BI1687" s="4"/>
      <c r="BJ1687" s="4"/>
      <c r="BK1687" s="4"/>
      <c r="BL1687" s="4"/>
      <c r="BM1687" s="4"/>
      <c r="BN1687" s="4"/>
      <c r="BO1687" s="4"/>
      <c r="BP1687" s="4"/>
      <c r="BQ1687" s="4"/>
      <c r="BR1687" s="4"/>
      <c r="BS1687" s="4"/>
      <c r="BT1687" s="4"/>
      <c r="BU1687" s="4"/>
      <c r="BV1687" s="4"/>
      <c r="BW1687" s="4"/>
      <c r="BX1687" s="4"/>
      <c r="BY1687" s="4"/>
      <c r="BZ1687" s="4"/>
      <c r="CA1687" s="4"/>
      <c r="CB1687" s="4"/>
      <c r="CC1687" s="4"/>
      <c r="CD1687" s="4"/>
      <c r="CE1687" s="4"/>
      <c r="CF1687" s="4"/>
      <c r="CG1687" s="4"/>
      <c r="CH1687" s="4"/>
      <c r="CI1687" s="4"/>
      <c r="CJ1687" s="4"/>
      <c r="CK1687" s="4"/>
      <c r="CL1687" s="4"/>
      <c r="CM1687" s="4"/>
      <c r="CN1687" s="4"/>
      <c r="CO1687" s="4"/>
      <c r="CP1687" s="4"/>
      <c r="CQ1687" s="4"/>
      <c r="CR1687" s="4"/>
      <c r="CS1687" s="4"/>
      <c r="CT1687" s="4"/>
      <c r="CU1687" s="4"/>
      <c r="CV1687" s="4"/>
      <c r="CW1687" s="4"/>
      <c r="CX1687" s="4"/>
      <c r="CY1687" s="4"/>
      <c r="CZ1687" s="4"/>
      <c r="DA1687" s="4"/>
      <c r="DB1687" s="4"/>
      <c r="DC1687" s="4"/>
      <c r="DD1687" s="4"/>
      <c r="DE1687" s="4"/>
      <c r="DF1687" s="4"/>
      <c r="DG1687" s="4"/>
      <c r="DH1687" s="4"/>
      <c r="DI1687" s="4"/>
      <c r="DJ1687" s="4"/>
      <c r="DK1687" s="4"/>
      <c r="DL1687" s="4"/>
      <c r="DM1687" s="4"/>
      <c r="DN1687" s="4"/>
      <c r="DO1687" s="4"/>
      <c r="DP1687" s="4"/>
      <c r="DQ1687" s="4"/>
      <c r="DR1687" s="4"/>
    </row>
    <row r="1688" spans="1:122" x14ac:dyDescent="0.25">
      <c r="A1688" s="2" t="s">
        <v>15</v>
      </c>
      <c r="B1688" s="2" t="str">
        <f>"FES1162769775"</f>
        <v>FES1162769775</v>
      </c>
      <c r="C1688" s="2" t="s">
        <v>1190</v>
      </c>
      <c r="D1688" s="2">
        <v>1</v>
      </c>
      <c r="E1688" s="2" t="str">
        <f>"2170757007"</f>
        <v>2170757007</v>
      </c>
      <c r="F1688" s="2" t="s">
        <v>17</v>
      </c>
      <c r="G1688" s="2" t="s">
        <v>18</v>
      </c>
      <c r="H1688" s="2" t="s">
        <v>30</v>
      </c>
      <c r="I1688" s="2" t="s">
        <v>147</v>
      </c>
      <c r="J1688" s="2" t="s">
        <v>148</v>
      </c>
      <c r="K1688" s="2" t="s">
        <v>1266</v>
      </c>
      <c r="L1688" s="3">
        <v>0.39999999999999997</v>
      </c>
      <c r="M1688" s="2" t="s">
        <v>1375</v>
      </c>
      <c r="N1688" s="2" t="s">
        <v>500</v>
      </c>
      <c r="O1688" s="2"/>
      <c r="P1688" s="4"/>
      <c r="Q1688" s="4"/>
      <c r="R1688" s="4"/>
      <c r="S1688" s="4"/>
      <c r="T1688" s="4"/>
      <c r="U1688" s="4"/>
      <c r="V1688" s="4"/>
      <c r="W1688" s="4"/>
      <c r="X1688" s="4"/>
      <c r="Y1688" s="4"/>
      <c r="Z1688" s="4"/>
      <c r="AA1688" s="4"/>
      <c r="AB1688" s="4"/>
      <c r="AC1688" s="4"/>
      <c r="AD1688" s="4"/>
      <c r="AE1688" s="4"/>
      <c r="AF1688" s="4"/>
      <c r="AG1688" s="4"/>
      <c r="AH1688" s="4"/>
      <c r="AI1688" s="4"/>
      <c r="AJ1688" s="4"/>
      <c r="AK1688" s="4"/>
      <c r="AL1688" s="4"/>
      <c r="AM1688" s="4"/>
      <c r="AN1688" s="4"/>
      <c r="AO1688" s="4"/>
      <c r="AP1688" s="4"/>
      <c r="AQ1688" s="4"/>
      <c r="AR1688" s="4"/>
      <c r="AS1688" s="4"/>
      <c r="AT1688" s="4"/>
      <c r="AU1688" s="4"/>
      <c r="AV1688" s="4"/>
      <c r="AW1688" s="4"/>
      <c r="AX1688" s="4"/>
      <c r="AY1688" s="4"/>
      <c r="AZ1688" s="4"/>
      <c r="BA1688" s="4"/>
      <c r="BB1688" s="4"/>
      <c r="BC1688" s="4"/>
      <c r="BD1688" s="4"/>
      <c r="BE1688" s="4"/>
      <c r="BF1688" s="4"/>
      <c r="BG1688" s="4"/>
      <c r="BH1688" s="4"/>
      <c r="BI1688" s="4"/>
      <c r="BJ1688" s="4"/>
      <c r="BK1688" s="4"/>
      <c r="BL1688" s="4"/>
      <c r="BM1688" s="4"/>
      <c r="BN1688" s="4"/>
      <c r="BO1688" s="4"/>
      <c r="BP1688" s="4"/>
      <c r="BQ1688" s="4"/>
      <c r="BR1688" s="4"/>
      <c r="BS1688" s="4"/>
      <c r="BT1688" s="4"/>
      <c r="BU1688" s="4"/>
      <c r="BV1688" s="4"/>
      <c r="BW1688" s="4"/>
      <c r="BX1688" s="4"/>
      <c r="BY1688" s="4"/>
      <c r="BZ1688" s="4"/>
      <c r="CA1688" s="4"/>
      <c r="CB1688" s="4"/>
      <c r="CC1688" s="4"/>
      <c r="CD1688" s="4"/>
      <c r="CE1688" s="4"/>
      <c r="CF1688" s="4"/>
      <c r="CG1688" s="4"/>
      <c r="CH1688" s="4"/>
      <c r="CI1688" s="4"/>
      <c r="CJ1688" s="4"/>
      <c r="CK1688" s="4"/>
      <c r="CL1688" s="4"/>
      <c r="CM1688" s="4"/>
      <c r="CN1688" s="4"/>
      <c r="CO1688" s="4"/>
      <c r="CP1688" s="4"/>
      <c r="CQ1688" s="4"/>
      <c r="CR1688" s="4"/>
      <c r="CS1688" s="4"/>
      <c r="CT1688" s="4"/>
      <c r="CU1688" s="4"/>
      <c r="CV1688" s="4"/>
      <c r="CW1688" s="4"/>
      <c r="CX1688" s="4"/>
      <c r="CY1688" s="4"/>
      <c r="CZ1688" s="4"/>
      <c r="DA1688" s="4"/>
      <c r="DB1688" s="4"/>
      <c r="DC1688" s="4"/>
      <c r="DD1688" s="4"/>
      <c r="DE1688" s="4"/>
      <c r="DF1688" s="4"/>
      <c r="DG1688" s="4"/>
      <c r="DH1688" s="4"/>
      <c r="DI1688" s="4"/>
      <c r="DJ1688" s="4"/>
      <c r="DK1688" s="4"/>
      <c r="DL1688" s="4"/>
      <c r="DM1688" s="4"/>
      <c r="DN1688" s="4"/>
      <c r="DO1688" s="4"/>
      <c r="DP1688" s="4"/>
      <c r="DQ1688" s="4"/>
      <c r="DR1688" s="4"/>
    </row>
    <row r="1689" spans="1:122" x14ac:dyDescent="0.25">
      <c r="A1689" s="2" t="s">
        <v>15</v>
      </c>
      <c r="B1689" s="2" t="str">
        <f>"FES1162769704"</f>
        <v>FES1162769704</v>
      </c>
      <c r="C1689" s="2" t="s">
        <v>1190</v>
      </c>
      <c r="D1689" s="2">
        <v>1</v>
      </c>
      <c r="E1689" s="2" t="str">
        <f>"2170756842"</f>
        <v>2170756842</v>
      </c>
      <c r="F1689" s="2" t="s">
        <v>17</v>
      </c>
      <c r="G1689" s="2" t="s">
        <v>18</v>
      </c>
      <c r="H1689" s="2" t="s">
        <v>18</v>
      </c>
      <c r="I1689" s="2" t="s">
        <v>46</v>
      </c>
      <c r="J1689" s="2" t="s">
        <v>168</v>
      </c>
      <c r="K1689" s="2" t="s">
        <v>1266</v>
      </c>
      <c r="L1689" s="3">
        <v>0.40625</v>
      </c>
      <c r="M1689" s="2" t="s">
        <v>546</v>
      </c>
      <c r="N1689" s="2" t="s">
        <v>500</v>
      </c>
      <c r="O1689" s="2"/>
      <c r="P1689" s="4"/>
      <c r="Q1689" s="4"/>
      <c r="R1689" s="4"/>
      <c r="S1689" s="4"/>
      <c r="T1689" s="4"/>
      <c r="U1689" s="4"/>
      <c r="V1689" s="4"/>
      <c r="W1689" s="4"/>
      <c r="X1689" s="4"/>
      <c r="Y1689" s="4"/>
      <c r="Z1689" s="4"/>
      <c r="AA1689" s="4"/>
      <c r="AB1689" s="4"/>
      <c r="AC1689" s="4"/>
      <c r="AD1689" s="4"/>
      <c r="AE1689" s="4"/>
      <c r="AF1689" s="4"/>
      <c r="AG1689" s="4"/>
      <c r="AH1689" s="4"/>
      <c r="AI1689" s="4"/>
      <c r="AJ1689" s="4"/>
      <c r="AK1689" s="4"/>
      <c r="AL1689" s="4"/>
      <c r="AM1689" s="4"/>
      <c r="AN1689" s="4"/>
      <c r="AO1689" s="4"/>
      <c r="AP1689" s="4"/>
      <c r="AQ1689" s="4"/>
      <c r="AR1689" s="4"/>
      <c r="AS1689" s="4"/>
      <c r="AT1689" s="4"/>
      <c r="AU1689" s="4"/>
      <c r="AV1689" s="4"/>
      <c r="AW1689" s="4"/>
      <c r="AX1689" s="4"/>
      <c r="AY1689" s="4"/>
      <c r="AZ1689" s="4"/>
      <c r="BA1689" s="4"/>
      <c r="BB1689" s="4"/>
      <c r="BC1689" s="4"/>
      <c r="BD1689" s="4"/>
      <c r="BE1689" s="4"/>
      <c r="BF1689" s="4"/>
      <c r="BG1689" s="4"/>
      <c r="BH1689" s="4"/>
      <c r="BI1689" s="4"/>
      <c r="BJ1689" s="4"/>
      <c r="BK1689" s="4"/>
      <c r="BL1689" s="4"/>
      <c r="BM1689" s="4"/>
      <c r="BN1689" s="4"/>
      <c r="BO1689" s="4"/>
      <c r="BP1689" s="4"/>
      <c r="BQ1689" s="4"/>
      <c r="BR1689" s="4"/>
      <c r="BS1689" s="4"/>
      <c r="BT1689" s="4"/>
      <c r="BU1689" s="4"/>
      <c r="BV1689" s="4"/>
      <c r="BW1689" s="4"/>
      <c r="BX1689" s="4"/>
      <c r="BY1689" s="4"/>
      <c r="BZ1689" s="4"/>
      <c r="CA1689" s="4"/>
      <c r="CB1689" s="4"/>
      <c r="CC1689" s="4"/>
      <c r="CD1689" s="4"/>
      <c r="CE1689" s="4"/>
      <c r="CF1689" s="4"/>
      <c r="CG1689" s="4"/>
      <c r="CH1689" s="4"/>
      <c r="CI1689" s="4"/>
      <c r="CJ1689" s="4"/>
      <c r="CK1689" s="4"/>
      <c r="CL1689" s="4"/>
      <c r="CM1689" s="4"/>
      <c r="CN1689" s="4"/>
      <c r="CO1689" s="4"/>
      <c r="CP1689" s="4"/>
      <c r="CQ1689" s="4"/>
      <c r="CR1689" s="4"/>
      <c r="CS1689" s="4"/>
      <c r="CT1689" s="4"/>
      <c r="CU1689" s="4"/>
      <c r="CV1689" s="4"/>
      <c r="CW1689" s="4"/>
      <c r="CX1689" s="4"/>
      <c r="CY1689" s="4"/>
      <c r="CZ1689" s="4"/>
      <c r="DA1689" s="4"/>
      <c r="DB1689" s="4"/>
      <c r="DC1689" s="4"/>
      <c r="DD1689" s="4"/>
      <c r="DE1689" s="4"/>
      <c r="DF1689" s="4"/>
      <c r="DG1689" s="4"/>
      <c r="DH1689" s="4"/>
      <c r="DI1689" s="4"/>
      <c r="DJ1689" s="4"/>
      <c r="DK1689" s="4"/>
      <c r="DL1689" s="4"/>
      <c r="DM1689" s="4"/>
      <c r="DN1689" s="4"/>
      <c r="DO1689" s="4"/>
      <c r="DP1689" s="4"/>
      <c r="DQ1689" s="4"/>
      <c r="DR1689" s="4"/>
    </row>
    <row r="1690" spans="1:122" x14ac:dyDescent="0.25">
      <c r="A1690" s="2" t="s">
        <v>15</v>
      </c>
      <c r="B1690" s="2" t="str">
        <f>"FES1162769583"</f>
        <v>FES1162769583</v>
      </c>
      <c r="C1690" s="2" t="s">
        <v>1190</v>
      </c>
      <c r="D1690" s="2">
        <v>1</v>
      </c>
      <c r="E1690" s="2" t="str">
        <f>"2170756627"</f>
        <v>2170756627</v>
      </c>
      <c r="F1690" s="2" t="s">
        <v>17</v>
      </c>
      <c r="G1690" s="2" t="s">
        <v>18</v>
      </c>
      <c r="H1690" s="2" t="s">
        <v>88</v>
      </c>
      <c r="I1690" s="2" t="s">
        <v>89</v>
      </c>
      <c r="J1690" s="2" t="s">
        <v>1311</v>
      </c>
      <c r="K1690" s="2" t="s">
        <v>1266</v>
      </c>
      <c r="L1690" s="3">
        <v>0.62916666666666665</v>
      </c>
      <c r="M1690" s="2" t="s">
        <v>1376</v>
      </c>
      <c r="N1690" s="2" t="s">
        <v>500</v>
      </c>
      <c r="O1690" s="2"/>
      <c r="P1690" s="4"/>
      <c r="Q1690" s="4"/>
      <c r="R1690" s="4"/>
      <c r="S1690" s="4"/>
      <c r="T1690" s="4"/>
      <c r="U1690" s="4"/>
      <c r="V1690" s="4"/>
      <c r="W1690" s="4"/>
      <c r="X1690" s="4"/>
      <c r="Y1690" s="4"/>
      <c r="Z1690" s="4"/>
      <c r="AA1690" s="4"/>
      <c r="AB1690" s="4"/>
      <c r="AC1690" s="4"/>
      <c r="AD1690" s="4"/>
      <c r="AE1690" s="4"/>
      <c r="AF1690" s="4"/>
      <c r="AG1690" s="4"/>
      <c r="AH1690" s="4"/>
      <c r="AI1690" s="4"/>
      <c r="AJ1690" s="4"/>
      <c r="AK1690" s="4"/>
      <c r="AL1690" s="4"/>
      <c r="AM1690" s="4"/>
      <c r="AN1690" s="4"/>
      <c r="AO1690" s="4"/>
      <c r="AP1690" s="4"/>
      <c r="AQ1690" s="4"/>
      <c r="AR1690" s="4"/>
      <c r="AS1690" s="4"/>
      <c r="AT1690" s="4"/>
      <c r="AU1690" s="4"/>
      <c r="AV1690" s="4"/>
      <c r="AW1690" s="4"/>
      <c r="AX1690" s="4"/>
      <c r="AY1690" s="4"/>
      <c r="AZ1690" s="4"/>
      <c r="BA1690" s="4"/>
      <c r="BB1690" s="4"/>
      <c r="BC1690" s="4"/>
      <c r="BD1690" s="4"/>
      <c r="BE1690" s="4"/>
      <c r="BF1690" s="4"/>
      <c r="BG1690" s="4"/>
      <c r="BH1690" s="4"/>
      <c r="BI1690" s="4"/>
      <c r="BJ1690" s="4"/>
      <c r="BK1690" s="4"/>
      <c r="BL1690" s="4"/>
      <c r="BM1690" s="4"/>
      <c r="BN1690" s="4"/>
      <c r="BO1690" s="4"/>
      <c r="BP1690" s="4"/>
      <c r="BQ1690" s="4"/>
      <c r="BR1690" s="4"/>
      <c r="BS1690" s="4"/>
      <c r="BT1690" s="4"/>
      <c r="BU1690" s="4"/>
      <c r="BV1690" s="4"/>
      <c r="BW1690" s="4"/>
      <c r="BX1690" s="4"/>
      <c r="BY1690" s="4"/>
      <c r="BZ1690" s="4"/>
      <c r="CA1690" s="4"/>
      <c r="CB1690" s="4"/>
      <c r="CC1690" s="4"/>
      <c r="CD1690" s="4"/>
      <c r="CE1690" s="4"/>
      <c r="CF1690" s="4"/>
      <c r="CG1690" s="4"/>
      <c r="CH1690" s="4"/>
      <c r="CI1690" s="4"/>
      <c r="CJ1690" s="4"/>
      <c r="CK1690" s="4"/>
      <c r="CL1690" s="4"/>
      <c r="CM1690" s="4"/>
      <c r="CN1690" s="4"/>
      <c r="CO1690" s="4"/>
      <c r="CP1690" s="4"/>
      <c r="CQ1690" s="4"/>
      <c r="CR1690" s="4"/>
      <c r="CS1690" s="4"/>
      <c r="CT1690" s="4"/>
      <c r="CU1690" s="4"/>
      <c r="CV1690" s="4"/>
      <c r="CW1690" s="4"/>
      <c r="CX1690" s="4"/>
      <c r="CY1690" s="4"/>
      <c r="CZ1690" s="4"/>
      <c r="DA1690" s="4"/>
      <c r="DB1690" s="4"/>
      <c r="DC1690" s="4"/>
      <c r="DD1690" s="4"/>
      <c r="DE1690" s="4"/>
      <c r="DF1690" s="4"/>
      <c r="DG1690" s="4"/>
      <c r="DH1690" s="4"/>
      <c r="DI1690" s="4"/>
      <c r="DJ1690" s="4"/>
      <c r="DK1690" s="4"/>
      <c r="DL1690" s="4"/>
      <c r="DM1690" s="4"/>
      <c r="DN1690" s="4"/>
      <c r="DO1690" s="4"/>
      <c r="DP1690" s="4"/>
      <c r="DQ1690" s="4"/>
      <c r="DR1690" s="4"/>
    </row>
    <row r="1691" spans="1:122" x14ac:dyDescent="0.25">
      <c r="A1691" s="2" t="s">
        <v>15</v>
      </c>
      <c r="B1691" s="2" t="str">
        <f>"FES1162769840"</f>
        <v>FES1162769840</v>
      </c>
      <c r="C1691" s="2" t="s">
        <v>1190</v>
      </c>
      <c r="D1691" s="2">
        <v>1</v>
      </c>
      <c r="E1691" s="2" t="str">
        <f>"2170757112"</f>
        <v>2170757112</v>
      </c>
      <c r="F1691" s="2" t="s">
        <v>17</v>
      </c>
      <c r="G1691" s="2" t="s">
        <v>18</v>
      </c>
      <c r="H1691" s="2" t="s">
        <v>25</v>
      </c>
      <c r="I1691" s="2" t="s">
        <v>42</v>
      </c>
      <c r="J1691" s="2" t="s">
        <v>639</v>
      </c>
      <c r="K1691" s="2" t="s">
        <v>1266</v>
      </c>
      <c r="L1691" s="3">
        <v>0.48125000000000001</v>
      </c>
      <c r="M1691" s="2" t="s">
        <v>1333</v>
      </c>
      <c r="N1691" s="2" t="s">
        <v>500</v>
      </c>
      <c r="O1691" s="2"/>
      <c r="P1691" s="4"/>
      <c r="Q1691" s="4"/>
      <c r="R1691" s="4"/>
      <c r="S1691" s="4"/>
      <c r="T1691" s="4"/>
      <c r="U1691" s="4"/>
      <c r="V1691" s="4"/>
      <c r="W1691" s="4"/>
      <c r="X1691" s="4"/>
      <c r="Y1691" s="4"/>
      <c r="Z1691" s="4"/>
      <c r="AA1691" s="4"/>
      <c r="AB1691" s="4"/>
      <c r="AC1691" s="4"/>
      <c r="AD1691" s="4"/>
      <c r="AE1691" s="4"/>
      <c r="AF1691" s="4"/>
      <c r="AG1691" s="4"/>
      <c r="AH1691" s="4"/>
      <c r="AI1691" s="4"/>
      <c r="AJ1691" s="4"/>
      <c r="AK1691" s="4"/>
      <c r="AL1691" s="4"/>
      <c r="AM1691" s="4"/>
      <c r="AN1691" s="4"/>
      <c r="AO1691" s="4"/>
      <c r="AP1691" s="4"/>
      <c r="AQ1691" s="4"/>
      <c r="AR1691" s="4"/>
      <c r="AS1691" s="4"/>
      <c r="AT1691" s="4"/>
      <c r="AU1691" s="4"/>
      <c r="AV1691" s="4"/>
      <c r="AW1691" s="4"/>
      <c r="AX1691" s="4"/>
      <c r="AY1691" s="4"/>
      <c r="AZ1691" s="4"/>
      <c r="BA1691" s="4"/>
      <c r="BB1691" s="4"/>
      <c r="BC1691" s="4"/>
      <c r="BD1691" s="4"/>
      <c r="BE1691" s="4"/>
      <c r="BF1691" s="4"/>
      <c r="BG1691" s="4"/>
      <c r="BH1691" s="4"/>
      <c r="BI1691" s="4"/>
      <c r="BJ1691" s="4"/>
      <c r="BK1691" s="4"/>
      <c r="BL1691" s="4"/>
      <c r="BM1691" s="4"/>
      <c r="BN1691" s="4"/>
      <c r="BO1691" s="4"/>
      <c r="BP1691" s="4"/>
      <c r="BQ1691" s="4"/>
      <c r="BR1691" s="4"/>
      <c r="BS1691" s="4"/>
      <c r="BT1691" s="4"/>
      <c r="BU1691" s="4"/>
      <c r="BV1691" s="4"/>
      <c r="BW1691" s="4"/>
      <c r="BX1691" s="4"/>
      <c r="BY1691" s="4"/>
      <c r="BZ1691" s="4"/>
      <c r="CA1691" s="4"/>
      <c r="CB1691" s="4"/>
      <c r="CC1691" s="4"/>
      <c r="CD1691" s="4"/>
      <c r="CE1691" s="4"/>
      <c r="CF1691" s="4"/>
      <c r="CG1691" s="4"/>
      <c r="CH1691" s="4"/>
      <c r="CI1691" s="4"/>
      <c r="CJ1691" s="4"/>
      <c r="CK1691" s="4"/>
      <c r="CL1691" s="4"/>
      <c r="CM1691" s="4"/>
      <c r="CN1691" s="4"/>
      <c r="CO1691" s="4"/>
      <c r="CP1691" s="4"/>
      <c r="CQ1691" s="4"/>
      <c r="CR1691" s="4"/>
      <c r="CS1691" s="4"/>
      <c r="CT1691" s="4"/>
      <c r="CU1691" s="4"/>
      <c r="CV1691" s="4"/>
      <c r="CW1691" s="4"/>
      <c r="CX1691" s="4"/>
      <c r="CY1691" s="4"/>
      <c r="CZ1691" s="4"/>
      <c r="DA1691" s="4"/>
      <c r="DB1691" s="4"/>
      <c r="DC1691" s="4"/>
      <c r="DD1691" s="4"/>
      <c r="DE1691" s="4"/>
      <c r="DF1691" s="4"/>
      <c r="DG1691" s="4"/>
      <c r="DH1691" s="4"/>
      <c r="DI1691" s="4"/>
      <c r="DJ1691" s="4"/>
      <c r="DK1691" s="4"/>
      <c r="DL1691" s="4"/>
      <c r="DM1691" s="4"/>
      <c r="DN1691" s="4"/>
      <c r="DO1691" s="4"/>
      <c r="DP1691" s="4"/>
      <c r="DQ1691" s="4"/>
      <c r="DR1691" s="4"/>
    </row>
    <row r="1692" spans="1:122" x14ac:dyDescent="0.25">
      <c r="A1692" s="2" t="s">
        <v>15</v>
      </c>
      <c r="B1692" s="2" t="str">
        <f>"FES1162769841"</f>
        <v>FES1162769841</v>
      </c>
      <c r="C1692" s="2" t="s">
        <v>1190</v>
      </c>
      <c r="D1692" s="2">
        <v>1</v>
      </c>
      <c r="E1692" s="2" t="str">
        <f>"2170757113"</f>
        <v>2170757113</v>
      </c>
      <c r="F1692" s="2" t="s">
        <v>17</v>
      </c>
      <c r="G1692" s="2" t="s">
        <v>18</v>
      </c>
      <c r="H1692" s="2" t="s">
        <v>30</v>
      </c>
      <c r="I1692" s="2" t="s">
        <v>147</v>
      </c>
      <c r="J1692" s="2" t="s">
        <v>148</v>
      </c>
      <c r="K1692" s="2" t="s">
        <v>1266</v>
      </c>
      <c r="L1692" s="3">
        <v>0.39999999999999997</v>
      </c>
      <c r="M1692" s="2" t="s">
        <v>1375</v>
      </c>
      <c r="N1692" s="2" t="s">
        <v>500</v>
      </c>
      <c r="O1692" s="2"/>
      <c r="P1692" s="4"/>
      <c r="Q1692" s="4"/>
      <c r="R1692" s="4"/>
      <c r="S1692" s="4"/>
      <c r="T1692" s="4"/>
      <c r="U1692" s="4"/>
      <c r="V1692" s="4"/>
      <c r="W1692" s="4"/>
      <c r="X1692" s="4"/>
      <c r="Y1692" s="4"/>
      <c r="Z1692" s="4"/>
      <c r="AA1692" s="4"/>
      <c r="AB1692" s="4"/>
      <c r="AC1692" s="4"/>
      <c r="AD1692" s="4"/>
      <c r="AE1692" s="4"/>
      <c r="AF1692" s="4"/>
      <c r="AG1692" s="4"/>
      <c r="AH1692" s="4"/>
      <c r="AI1692" s="4"/>
      <c r="AJ1692" s="4"/>
      <c r="AK1692" s="4"/>
      <c r="AL1692" s="4"/>
      <c r="AM1692" s="4"/>
      <c r="AN1692" s="4"/>
      <c r="AO1692" s="4"/>
      <c r="AP1692" s="4"/>
      <c r="AQ1692" s="4"/>
      <c r="AR1692" s="4"/>
      <c r="AS1692" s="4"/>
      <c r="AT1692" s="4"/>
      <c r="AU1692" s="4"/>
      <c r="AV1692" s="4"/>
      <c r="AW1692" s="4"/>
      <c r="AX1692" s="4"/>
      <c r="AY1692" s="4"/>
      <c r="AZ1692" s="4"/>
      <c r="BA1692" s="4"/>
      <c r="BB1692" s="4"/>
      <c r="BC1692" s="4"/>
      <c r="BD1692" s="4"/>
      <c r="BE1692" s="4"/>
      <c r="BF1692" s="4"/>
      <c r="BG1692" s="4"/>
      <c r="BH1692" s="4"/>
      <c r="BI1692" s="4"/>
      <c r="BJ1692" s="4"/>
      <c r="BK1692" s="4"/>
      <c r="BL1692" s="4"/>
      <c r="BM1692" s="4"/>
      <c r="BN1692" s="4"/>
      <c r="BO1692" s="4"/>
      <c r="BP1692" s="4"/>
      <c r="BQ1692" s="4"/>
      <c r="BR1692" s="4"/>
      <c r="BS1692" s="4"/>
      <c r="BT1692" s="4"/>
      <c r="BU1692" s="4"/>
      <c r="BV1692" s="4"/>
      <c r="BW1692" s="4"/>
      <c r="BX1692" s="4"/>
      <c r="BY1692" s="4"/>
      <c r="BZ1692" s="4"/>
      <c r="CA1692" s="4"/>
      <c r="CB1692" s="4"/>
      <c r="CC1692" s="4"/>
      <c r="CD1692" s="4"/>
      <c r="CE1692" s="4"/>
      <c r="CF1692" s="4"/>
      <c r="CG1692" s="4"/>
      <c r="CH1692" s="4"/>
      <c r="CI1692" s="4"/>
      <c r="CJ1692" s="4"/>
      <c r="CK1692" s="4"/>
      <c r="CL1692" s="4"/>
      <c r="CM1692" s="4"/>
      <c r="CN1692" s="4"/>
      <c r="CO1692" s="4"/>
      <c r="CP1692" s="4"/>
      <c r="CQ1692" s="4"/>
      <c r="CR1692" s="4"/>
      <c r="CS1692" s="4"/>
      <c r="CT1692" s="4"/>
      <c r="CU1692" s="4"/>
      <c r="CV1692" s="4"/>
      <c r="CW1692" s="4"/>
      <c r="CX1692" s="4"/>
      <c r="CY1692" s="4"/>
      <c r="CZ1692" s="4"/>
      <c r="DA1692" s="4"/>
      <c r="DB1692" s="4"/>
      <c r="DC1692" s="4"/>
      <c r="DD1692" s="4"/>
      <c r="DE1692" s="4"/>
      <c r="DF1692" s="4"/>
      <c r="DG1692" s="4"/>
      <c r="DH1692" s="4"/>
      <c r="DI1692" s="4"/>
      <c r="DJ1692" s="4"/>
      <c r="DK1692" s="4"/>
      <c r="DL1692" s="4"/>
      <c r="DM1692" s="4"/>
      <c r="DN1692" s="4"/>
      <c r="DO1692" s="4"/>
      <c r="DP1692" s="4"/>
      <c r="DQ1692" s="4"/>
      <c r="DR1692" s="4"/>
    </row>
    <row r="1693" spans="1:122" x14ac:dyDescent="0.25">
      <c r="A1693" s="2" t="s">
        <v>15</v>
      </c>
      <c r="B1693" s="2" t="str">
        <f>"FES1162769674"</f>
        <v>FES1162769674</v>
      </c>
      <c r="C1693" s="2" t="s">
        <v>1190</v>
      </c>
      <c r="D1693" s="2">
        <v>1</v>
      </c>
      <c r="E1693" s="2" t="str">
        <f>"2170756782"</f>
        <v>2170756782</v>
      </c>
      <c r="F1693" s="2" t="s">
        <v>17</v>
      </c>
      <c r="G1693" s="2" t="s">
        <v>18</v>
      </c>
      <c r="H1693" s="2" t="s">
        <v>25</v>
      </c>
      <c r="I1693" s="2" t="s">
        <v>26</v>
      </c>
      <c r="J1693" s="2" t="s">
        <v>353</v>
      </c>
      <c r="K1693" s="2" t="s">
        <v>1266</v>
      </c>
      <c r="L1693" s="3">
        <v>0.41666666666666669</v>
      </c>
      <c r="M1693" s="2" t="s">
        <v>1360</v>
      </c>
      <c r="N1693" s="2" t="s">
        <v>500</v>
      </c>
      <c r="O1693" s="2"/>
      <c r="P1693" s="4"/>
      <c r="Q1693" s="4"/>
      <c r="R1693" s="4"/>
      <c r="S1693" s="4"/>
      <c r="T1693" s="4"/>
      <c r="U1693" s="4"/>
      <c r="V1693" s="4"/>
      <c r="W1693" s="4"/>
      <c r="X1693" s="4"/>
      <c r="Y1693" s="4"/>
      <c r="Z1693" s="4"/>
      <c r="AA1693" s="4"/>
      <c r="AB1693" s="4"/>
      <c r="AC1693" s="4"/>
      <c r="AD1693" s="4"/>
      <c r="AE1693" s="4"/>
      <c r="AF1693" s="4"/>
      <c r="AG1693" s="4"/>
      <c r="AH1693" s="4"/>
      <c r="AI1693" s="4"/>
      <c r="AJ1693" s="4"/>
      <c r="AK1693" s="4"/>
      <c r="AL1693" s="4"/>
      <c r="AM1693" s="4"/>
      <c r="AN1693" s="4"/>
      <c r="AO1693" s="4"/>
      <c r="AP1693" s="4"/>
      <c r="AQ1693" s="4"/>
      <c r="AR1693" s="4"/>
      <c r="AS1693" s="4"/>
      <c r="AT1693" s="4"/>
      <c r="AU1693" s="4"/>
      <c r="AV1693" s="4"/>
      <c r="AW1693" s="4"/>
      <c r="AX1693" s="4"/>
      <c r="AY1693" s="4"/>
      <c r="AZ1693" s="4"/>
      <c r="BA1693" s="4"/>
      <c r="BB1693" s="4"/>
      <c r="BC1693" s="4"/>
      <c r="BD1693" s="4"/>
      <c r="BE1693" s="4"/>
      <c r="BF1693" s="4"/>
      <c r="BG1693" s="4"/>
      <c r="BH1693" s="4"/>
      <c r="BI1693" s="4"/>
      <c r="BJ1693" s="4"/>
      <c r="BK1693" s="4"/>
      <c r="BL1693" s="4"/>
      <c r="BM1693" s="4"/>
      <c r="BN1693" s="4"/>
      <c r="BO1693" s="4"/>
      <c r="BP1693" s="4"/>
      <c r="BQ1693" s="4"/>
      <c r="BR1693" s="4"/>
      <c r="BS1693" s="4"/>
      <c r="BT1693" s="4"/>
      <c r="BU1693" s="4"/>
      <c r="BV1693" s="4"/>
      <c r="BW1693" s="4"/>
      <c r="BX1693" s="4"/>
      <c r="BY1693" s="4"/>
      <c r="BZ1693" s="4"/>
      <c r="CA1693" s="4"/>
      <c r="CB1693" s="4"/>
      <c r="CC1693" s="4"/>
      <c r="CD1693" s="4"/>
      <c r="CE1693" s="4"/>
      <c r="CF1693" s="4"/>
      <c r="CG1693" s="4"/>
      <c r="CH1693" s="4"/>
      <c r="CI1693" s="4"/>
      <c r="CJ1693" s="4"/>
      <c r="CK1693" s="4"/>
      <c r="CL1693" s="4"/>
      <c r="CM1693" s="4"/>
      <c r="CN1693" s="4"/>
      <c r="CO1693" s="4"/>
      <c r="CP1693" s="4"/>
      <c r="CQ1693" s="4"/>
      <c r="CR1693" s="4"/>
      <c r="CS1693" s="4"/>
      <c r="CT1693" s="4"/>
      <c r="CU1693" s="4"/>
      <c r="CV1693" s="4"/>
      <c r="CW1693" s="4"/>
      <c r="CX1693" s="4"/>
      <c r="CY1693" s="4"/>
      <c r="CZ1693" s="4"/>
      <c r="DA1693" s="4"/>
      <c r="DB1693" s="4"/>
      <c r="DC1693" s="4"/>
      <c r="DD1693" s="4"/>
      <c r="DE1693" s="4"/>
      <c r="DF1693" s="4"/>
      <c r="DG1693" s="4"/>
      <c r="DH1693" s="4"/>
      <c r="DI1693" s="4"/>
      <c r="DJ1693" s="4"/>
      <c r="DK1693" s="4"/>
      <c r="DL1693" s="4"/>
      <c r="DM1693" s="4"/>
      <c r="DN1693" s="4"/>
      <c r="DO1693" s="4"/>
      <c r="DP1693" s="4"/>
      <c r="DQ1693" s="4"/>
      <c r="DR1693" s="4"/>
    </row>
    <row r="1694" spans="1:122" x14ac:dyDescent="0.25">
      <c r="A1694" s="2" t="s">
        <v>15</v>
      </c>
      <c r="B1694" s="2" t="str">
        <f>"FES1162769777"</f>
        <v>FES1162769777</v>
      </c>
      <c r="C1694" s="2" t="s">
        <v>1190</v>
      </c>
      <c r="D1694" s="2">
        <v>1</v>
      </c>
      <c r="E1694" s="2" t="str">
        <f>"2170757009"</f>
        <v>2170757009</v>
      </c>
      <c r="F1694" s="2" t="s">
        <v>17</v>
      </c>
      <c r="G1694" s="2" t="s">
        <v>18</v>
      </c>
      <c r="H1694" s="2" t="s">
        <v>25</v>
      </c>
      <c r="I1694" s="2" t="s">
        <v>26</v>
      </c>
      <c r="J1694" s="2" t="s">
        <v>623</v>
      </c>
      <c r="K1694" s="2" t="s">
        <v>1266</v>
      </c>
      <c r="L1694" s="3">
        <v>0.4055555555555555</v>
      </c>
      <c r="M1694" s="2" t="s">
        <v>1368</v>
      </c>
      <c r="N1694" s="2" t="s">
        <v>500</v>
      </c>
      <c r="O1694" s="2"/>
      <c r="P1694" s="4"/>
      <c r="Q1694" s="4"/>
      <c r="R1694" s="4"/>
      <c r="S1694" s="4"/>
      <c r="T1694" s="4"/>
      <c r="U1694" s="4"/>
      <c r="V1694" s="4"/>
      <c r="W1694" s="4"/>
      <c r="X1694" s="4"/>
      <c r="Y1694" s="4"/>
      <c r="Z1694" s="4"/>
      <c r="AA1694" s="4"/>
      <c r="AB1694" s="4"/>
      <c r="AC1694" s="4"/>
      <c r="AD1694" s="4"/>
      <c r="AE1694" s="4"/>
      <c r="AF1694" s="4"/>
      <c r="AG1694" s="4"/>
      <c r="AH1694" s="4"/>
      <c r="AI1694" s="4"/>
      <c r="AJ1694" s="4"/>
      <c r="AK1694" s="4"/>
      <c r="AL1694" s="4"/>
      <c r="AM1694" s="4"/>
      <c r="AN1694" s="4"/>
      <c r="AO1694" s="4"/>
      <c r="AP1694" s="4"/>
      <c r="AQ1694" s="4"/>
      <c r="AR1694" s="4"/>
      <c r="AS1694" s="4"/>
      <c r="AT1694" s="4"/>
      <c r="AU1694" s="4"/>
      <c r="AV1694" s="4"/>
      <c r="AW1694" s="4"/>
      <c r="AX1694" s="4"/>
      <c r="AY1694" s="4"/>
      <c r="AZ1694" s="4"/>
      <c r="BA1694" s="4"/>
      <c r="BB1694" s="4"/>
      <c r="BC1694" s="4"/>
      <c r="BD1694" s="4"/>
      <c r="BE1694" s="4"/>
      <c r="BF1694" s="4"/>
      <c r="BG1694" s="4"/>
      <c r="BH1694" s="4"/>
      <c r="BI1694" s="4"/>
      <c r="BJ1694" s="4"/>
      <c r="BK1694" s="4"/>
      <c r="BL1694" s="4"/>
      <c r="BM1694" s="4"/>
      <c r="BN1694" s="4"/>
      <c r="BO1694" s="4"/>
      <c r="BP1694" s="4"/>
      <c r="BQ1694" s="4"/>
      <c r="BR1694" s="4"/>
      <c r="BS1694" s="4"/>
      <c r="BT1694" s="4"/>
      <c r="BU1694" s="4"/>
      <c r="BV1694" s="4"/>
      <c r="BW1694" s="4"/>
      <c r="BX1694" s="4"/>
      <c r="BY1694" s="4"/>
      <c r="BZ1694" s="4"/>
      <c r="CA1694" s="4"/>
      <c r="CB1694" s="4"/>
      <c r="CC1694" s="4"/>
      <c r="CD1694" s="4"/>
      <c r="CE1694" s="4"/>
      <c r="CF1694" s="4"/>
      <c r="CG1694" s="4"/>
      <c r="CH1694" s="4"/>
      <c r="CI1694" s="4"/>
      <c r="CJ1694" s="4"/>
      <c r="CK1694" s="4"/>
      <c r="CL1694" s="4"/>
      <c r="CM1694" s="4"/>
      <c r="CN1694" s="4"/>
      <c r="CO1694" s="4"/>
      <c r="CP1694" s="4"/>
      <c r="CQ1694" s="4"/>
      <c r="CR1694" s="4"/>
      <c r="CS1694" s="4"/>
      <c r="CT1694" s="4"/>
      <c r="CU1694" s="4"/>
      <c r="CV1694" s="4"/>
      <c r="CW1694" s="4"/>
      <c r="CX1694" s="4"/>
      <c r="CY1694" s="4"/>
      <c r="CZ1694" s="4"/>
      <c r="DA1694" s="4"/>
      <c r="DB1694" s="4"/>
      <c r="DC1694" s="4"/>
      <c r="DD1694" s="4"/>
      <c r="DE1694" s="4"/>
      <c r="DF1694" s="4"/>
      <c r="DG1694" s="4"/>
      <c r="DH1694" s="4"/>
      <c r="DI1694" s="4"/>
      <c r="DJ1694" s="4"/>
      <c r="DK1694" s="4"/>
      <c r="DL1694" s="4"/>
      <c r="DM1694" s="4"/>
      <c r="DN1694" s="4"/>
      <c r="DO1694" s="4"/>
      <c r="DP1694" s="4"/>
      <c r="DQ1694" s="4"/>
      <c r="DR1694" s="4"/>
    </row>
    <row r="1695" spans="1:122" x14ac:dyDescent="0.25">
      <c r="A1695" s="2" t="s">
        <v>15</v>
      </c>
      <c r="B1695" s="2" t="str">
        <f>"FES1162769692"</f>
        <v>FES1162769692</v>
      </c>
      <c r="C1695" s="2" t="s">
        <v>1190</v>
      </c>
      <c r="D1695" s="2">
        <v>1</v>
      </c>
      <c r="E1695" s="2" t="str">
        <f>"2170756814"</f>
        <v>2170756814</v>
      </c>
      <c r="F1695" s="2" t="s">
        <v>17</v>
      </c>
      <c r="G1695" s="2" t="s">
        <v>18</v>
      </c>
      <c r="H1695" s="2" t="s">
        <v>19</v>
      </c>
      <c r="I1695" s="2" t="s">
        <v>20</v>
      </c>
      <c r="J1695" s="2" t="s">
        <v>1312</v>
      </c>
      <c r="K1695" s="2" t="s">
        <v>1266</v>
      </c>
      <c r="L1695" s="3">
        <v>0.47430555555555554</v>
      </c>
      <c r="M1695" s="2" t="s">
        <v>1377</v>
      </c>
      <c r="N1695" s="2" t="s">
        <v>500</v>
      </c>
      <c r="O1695" s="2"/>
      <c r="P1695" s="4"/>
      <c r="Q1695" s="4"/>
      <c r="R1695" s="4"/>
      <c r="S1695" s="4"/>
      <c r="T1695" s="4"/>
      <c r="U1695" s="4"/>
      <c r="V1695" s="4"/>
      <c r="W1695" s="4"/>
      <c r="X1695" s="4"/>
      <c r="Y1695" s="4"/>
      <c r="Z1695" s="4"/>
      <c r="AA1695" s="4"/>
      <c r="AB1695" s="4"/>
      <c r="AC1695" s="4"/>
      <c r="AD1695" s="4"/>
      <c r="AE1695" s="4"/>
      <c r="AF1695" s="4"/>
      <c r="AG1695" s="4"/>
      <c r="AH1695" s="4"/>
      <c r="AI1695" s="4"/>
      <c r="AJ1695" s="4"/>
      <c r="AK1695" s="4"/>
      <c r="AL1695" s="4"/>
      <c r="AM1695" s="4"/>
      <c r="AN1695" s="4"/>
      <c r="AO1695" s="4"/>
      <c r="AP1695" s="4"/>
      <c r="AQ1695" s="4"/>
      <c r="AR1695" s="4"/>
      <c r="AS1695" s="4"/>
      <c r="AT1695" s="4"/>
      <c r="AU1695" s="4"/>
      <c r="AV1695" s="4"/>
      <c r="AW1695" s="4"/>
      <c r="AX1695" s="4"/>
      <c r="AY1695" s="4"/>
      <c r="AZ1695" s="4"/>
      <c r="BA1695" s="4"/>
      <c r="BB1695" s="4"/>
      <c r="BC1695" s="4"/>
      <c r="BD1695" s="4"/>
      <c r="BE1695" s="4"/>
      <c r="BF1695" s="4"/>
      <c r="BG1695" s="4"/>
      <c r="BH1695" s="4"/>
      <c r="BI1695" s="4"/>
      <c r="BJ1695" s="4"/>
      <c r="BK1695" s="4"/>
      <c r="BL1695" s="4"/>
      <c r="BM1695" s="4"/>
      <c r="BN1695" s="4"/>
      <c r="BO1695" s="4"/>
      <c r="BP1695" s="4"/>
      <c r="BQ1695" s="4"/>
      <c r="BR1695" s="4"/>
      <c r="BS1695" s="4"/>
      <c r="BT1695" s="4"/>
      <c r="BU1695" s="4"/>
      <c r="BV1695" s="4"/>
      <c r="BW1695" s="4"/>
      <c r="BX1695" s="4"/>
      <c r="BY1695" s="4"/>
      <c r="BZ1695" s="4"/>
      <c r="CA1695" s="4"/>
      <c r="CB1695" s="4"/>
      <c r="CC1695" s="4"/>
      <c r="CD1695" s="4"/>
      <c r="CE1695" s="4"/>
      <c r="CF1695" s="4"/>
      <c r="CG1695" s="4"/>
      <c r="CH1695" s="4"/>
      <c r="CI1695" s="4"/>
      <c r="CJ1695" s="4"/>
      <c r="CK1695" s="4"/>
      <c r="CL1695" s="4"/>
      <c r="CM1695" s="4"/>
      <c r="CN1695" s="4"/>
      <c r="CO1695" s="4"/>
      <c r="CP1695" s="4"/>
      <c r="CQ1695" s="4"/>
      <c r="CR1695" s="4"/>
      <c r="CS1695" s="4"/>
      <c r="CT1695" s="4"/>
      <c r="CU1695" s="4"/>
      <c r="CV1695" s="4"/>
      <c r="CW1695" s="4"/>
      <c r="CX1695" s="4"/>
      <c r="CY1695" s="4"/>
      <c r="CZ1695" s="4"/>
      <c r="DA1695" s="4"/>
      <c r="DB1695" s="4"/>
      <c r="DC1695" s="4"/>
      <c r="DD1695" s="4"/>
      <c r="DE1695" s="4"/>
      <c r="DF1695" s="4"/>
      <c r="DG1695" s="4"/>
      <c r="DH1695" s="4"/>
      <c r="DI1695" s="4"/>
      <c r="DJ1695" s="4"/>
      <c r="DK1695" s="4"/>
      <c r="DL1695" s="4"/>
      <c r="DM1695" s="4"/>
      <c r="DN1695" s="4"/>
      <c r="DO1695" s="4"/>
      <c r="DP1695" s="4"/>
      <c r="DQ1695" s="4"/>
      <c r="DR1695" s="4"/>
    </row>
    <row r="1696" spans="1:122" x14ac:dyDescent="0.25">
      <c r="A1696" s="2" t="s">
        <v>15</v>
      </c>
      <c r="B1696" s="2" t="str">
        <f>"FES1162769768"</f>
        <v>FES1162769768</v>
      </c>
      <c r="C1696" s="2" t="s">
        <v>1190</v>
      </c>
      <c r="D1696" s="2">
        <v>1</v>
      </c>
      <c r="E1696" s="2" t="str">
        <f>"2170756991"</f>
        <v>2170756991</v>
      </c>
      <c r="F1696" s="2" t="s">
        <v>17</v>
      </c>
      <c r="G1696" s="2" t="s">
        <v>18</v>
      </c>
      <c r="H1696" s="2" t="s">
        <v>18</v>
      </c>
      <c r="I1696" s="2" t="s">
        <v>63</v>
      </c>
      <c r="J1696" s="2" t="s">
        <v>1287</v>
      </c>
      <c r="K1696" s="2" t="s">
        <v>1266</v>
      </c>
      <c r="L1696" s="3">
        <v>0.40069444444444446</v>
      </c>
      <c r="M1696" s="2" t="s">
        <v>1339</v>
      </c>
      <c r="N1696" s="2" t="s">
        <v>500</v>
      </c>
      <c r="O1696" s="2"/>
      <c r="P1696" s="4"/>
      <c r="Q1696" s="4"/>
      <c r="R1696" s="4"/>
      <c r="S1696" s="4"/>
      <c r="T1696" s="4"/>
      <c r="U1696" s="4"/>
      <c r="V1696" s="4"/>
      <c r="W1696" s="4"/>
      <c r="X1696" s="4"/>
      <c r="Y1696" s="4"/>
      <c r="Z1696" s="4"/>
      <c r="AA1696" s="4"/>
      <c r="AB1696" s="4"/>
      <c r="AC1696" s="4"/>
      <c r="AD1696" s="4"/>
      <c r="AE1696" s="4"/>
      <c r="AF1696" s="4"/>
      <c r="AG1696" s="4"/>
      <c r="AH1696" s="4"/>
      <c r="AI1696" s="4"/>
      <c r="AJ1696" s="4"/>
      <c r="AK1696" s="4"/>
      <c r="AL1696" s="4"/>
      <c r="AM1696" s="4"/>
      <c r="AN1696" s="4"/>
      <c r="AO1696" s="4"/>
      <c r="AP1696" s="4"/>
      <c r="AQ1696" s="4"/>
      <c r="AR1696" s="4"/>
      <c r="AS1696" s="4"/>
      <c r="AT1696" s="4"/>
      <c r="AU1696" s="4"/>
      <c r="AV1696" s="4"/>
      <c r="AW1696" s="4"/>
      <c r="AX1696" s="4"/>
      <c r="AY1696" s="4"/>
      <c r="AZ1696" s="4"/>
      <c r="BA1696" s="4"/>
      <c r="BB1696" s="4"/>
      <c r="BC1696" s="4"/>
      <c r="BD1696" s="4"/>
      <c r="BE1696" s="4"/>
      <c r="BF1696" s="4"/>
      <c r="BG1696" s="4"/>
      <c r="BH1696" s="4"/>
      <c r="BI1696" s="4"/>
      <c r="BJ1696" s="4"/>
      <c r="BK1696" s="4"/>
      <c r="BL1696" s="4"/>
      <c r="BM1696" s="4"/>
      <c r="BN1696" s="4"/>
      <c r="BO1696" s="4"/>
      <c r="BP1696" s="4"/>
      <c r="BQ1696" s="4"/>
      <c r="BR1696" s="4"/>
      <c r="BS1696" s="4"/>
      <c r="BT1696" s="4"/>
      <c r="BU1696" s="4"/>
      <c r="BV1696" s="4"/>
      <c r="BW1696" s="4"/>
      <c r="BX1696" s="4"/>
      <c r="BY1696" s="4"/>
      <c r="BZ1696" s="4"/>
      <c r="CA1696" s="4"/>
      <c r="CB1696" s="4"/>
      <c r="CC1696" s="4"/>
      <c r="CD1696" s="4"/>
      <c r="CE1696" s="4"/>
      <c r="CF1696" s="4"/>
      <c r="CG1696" s="4"/>
      <c r="CH1696" s="4"/>
      <c r="CI1696" s="4"/>
      <c r="CJ1696" s="4"/>
      <c r="CK1696" s="4"/>
      <c r="CL1696" s="4"/>
      <c r="CM1696" s="4"/>
      <c r="CN1696" s="4"/>
      <c r="CO1696" s="4"/>
      <c r="CP1696" s="4"/>
      <c r="CQ1696" s="4"/>
      <c r="CR1696" s="4"/>
      <c r="CS1696" s="4"/>
      <c r="CT1696" s="4"/>
      <c r="CU1696" s="4"/>
      <c r="CV1696" s="4"/>
      <c r="CW1696" s="4"/>
      <c r="CX1696" s="4"/>
      <c r="CY1696" s="4"/>
      <c r="CZ1696" s="4"/>
      <c r="DA1696" s="4"/>
      <c r="DB1696" s="4"/>
      <c r="DC1696" s="4"/>
      <c r="DD1696" s="4"/>
      <c r="DE1696" s="4"/>
      <c r="DF1696" s="4"/>
      <c r="DG1696" s="4"/>
      <c r="DH1696" s="4"/>
      <c r="DI1696" s="4"/>
      <c r="DJ1696" s="4"/>
      <c r="DK1696" s="4"/>
      <c r="DL1696" s="4"/>
      <c r="DM1696" s="4"/>
      <c r="DN1696" s="4"/>
      <c r="DO1696" s="4"/>
      <c r="DP1696" s="4"/>
      <c r="DQ1696" s="4"/>
      <c r="DR1696" s="4"/>
    </row>
    <row r="1697" spans="1:122" x14ac:dyDescent="0.25">
      <c r="A1697" s="2" t="s">
        <v>15</v>
      </c>
      <c r="B1697" s="2" t="str">
        <f>"FES1162769803"</f>
        <v>FES1162769803</v>
      </c>
      <c r="C1697" s="2" t="s">
        <v>1190</v>
      </c>
      <c r="D1697" s="2">
        <v>1</v>
      </c>
      <c r="E1697" s="2" t="str">
        <f>"2170757052"</f>
        <v>2170757052</v>
      </c>
      <c r="F1697" s="2" t="s">
        <v>17</v>
      </c>
      <c r="G1697" s="2" t="s">
        <v>18</v>
      </c>
      <c r="H1697" s="2" t="s">
        <v>18</v>
      </c>
      <c r="I1697" s="2" t="s">
        <v>46</v>
      </c>
      <c r="J1697" s="2" t="s">
        <v>470</v>
      </c>
      <c r="K1697" s="2" t="s">
        <v>1266</v>
      </c>
      <c r="L1697" s="3">
        <v>0.31944444444444448</v>
      </c>
      <c r="M1697" s="2" t="s">
        <v>1200</v>
      </c>
      <c r="N1697" s="2" t="s">
        <v>500</v>
      </c>
      <c r="O1697" s="2"/>
      <c r="P1697" s="4"/>
      <c r="Q1697" s="4"/>
      <c r="R1697" s="4"/>
      <c r="S1697" s="4"/>
      <c r="T1697" s="4"/>
      <c r="U1697" s="4"/>
      <c r="V1697" s="4"/>
      <c r="W1697" s="4"/>
      <c r="X1697" s="4"/>
      <c r="Y1697" s="4"/>
      <c r="Z1697" s="4"/>
      <c r="AA1697" s="4"/>
      <c r="AB1697" s="4"/>
      <c r="AC1697" s="4"/>
      <c r="AD1697" s="4"/>
      <c r="AE1697" s="4"/>
      <c r="AF1697" s="4"/>
      <c r="AG1697" s="4"/>
      <c r="AH1697" s="4"/>
      <c r="AI1697" s="4"/>
      <c r="AJ1697" s="4"/>
      <c r="AK1697" s="4"/>
      <c r="AL1697" s="4"/>
      <c r="AM1697" s="4"/>
      <c r="AN1697" s="4"/>
      <c r="AO1697" s="4"/>
      <c r="AP1697" s="4"/>
      <c r="AQ1697" s="4"/>
      <c r="AR1697" s="4"/>
      <c r="AS1697" s="4"/>
      <c r="AT1697" s="4"/>
      <c r="AU1697" s="4"/>
      <c r="AV1697" s="4"/>
      <c r="AW1697" s="4"/>
      <c r="AX1697" s="4"/>
      <c r="AY1697" s="4"/>
      <c r="AZ1697" s="4"/>
      <c r="BA1697" s="4"/>
      <c r="BB1697" s="4"/>
      <c r="BC1697" s="4"/>
      <c r="BD1697" s="4"/>
      <c r="BE1697" s="4"/>
      <c r="BF1697" s="4"/>
      <c r="BG1697" s="4"/>
      <c r="BH1697" s="4"/>
      <c r="BI1697" s="4"/>
      <c r="BJ1697" s="4"/>
      <c r="BK1697" s="4"/>
      <c r="BL1697" s="4"/>
      <c r="BM1697" s="4"/>
      <c r="BN1697" s="4"/>
      <c r="BO1697" s="4"/>
      <c r="BP1697" s="4"/>
      <c r="BQ1697" s="4"/>
      <c r="BR1697" s="4"/>
      <c r="BS1697" s="4"/>
      <c r="BT1697" s="4"/>
      <c r="BU1697" s="4"/>
      <c r="BV1697" s="4"/>
      <c r="BW1697" s="4"/>
      <c r="BX1697" s="4"/>
      <c r="BY1697" s="4"/>
      <c r="BZ1697" s="4"/>
      <c r="CA1697" s="4"/>
      <c r="CB1697" s="4"/>
      <c r="CC1697" s="4"/>
      <c r="CD1697" s="4"/>
      <c r="CE1697" s="4"/>
      <c r="CF1697" s="4"/>
      <c r="CG1697" s="4"/>
      <c r="CH1697" s="4"/>
      <c r="CI1697" s="4"/>
      <c r="CJ1697" s="4"/>
      <c r="CK1697" s="4"/>
      <c r="CL1697" s="4"/>
      <c r="CM1697" s="4"/>
      <c r="CN1697" s="4"/>
      <c r="CO1697" s="4"/>
      <c r="CP1697" s="4"/>
      <c r="CQ1697" s="4"/>
      <c r="CR1697" s="4"/>
      <c r="CS1697" s="4"/>
      <c r="CT1697" s="4"/>
      <c r="CU1697" s="4"/>
      <c r="CV1697" s="4"/>
      <c r="CW1697" s="4"/>
      <c r="CX1697" s="4"/>
      <c r="CY1697" s="4"/>
      <c r="CZ1697" s="4"/>
      <c r="DA1697" s="4"/>
      <c r="DB1697" s="4"/>
      <c r="DC1697" s="4"/>
      <c r="DD1697" s="4"/>
      <c r="DE1697" s="4"/>
      <c r="DF1697" s="4"/>
      <c r="DG1697" s="4"/>
      <c r="DH1697" s="4"/>
      <c r="DI1697" s="4"/>
      <c r="DJ1697" s="4"/>
      <c r="DK1697" s="4"/>
      <c r="DL1697" s="4"/>
      <c r="DM1697" s="4"/>
      <c r="DN1697" s="4"/>
      <c r="DO1697" s="4"/>
      <c r="DP1697" s="4"/>
      <c r="DQ1697" s="4"/>
      <c r="DR1697" s="4"/>
    </row>
    <row r="1698" spans="1:122" x14ac:dyDescent="0.25">
      <c r="A1698" s="2" t="s">
        <v>15</v>
      </c>
      <c r="B1698" s="2" t="str">
        <f>"FES1162769793"</f>
        <v>FES1162769793</v>
      </c>
      <c r="C1698" s="2" t="s">
        <v>1190</v>
      </c>
      <c r="D1698" s="2">
        <v>1</v>
      </c>
      <c r="E1698" s="2" t="str">
        <f>"2170757033"</f>
        <v>2170757033</v>
      </c>
      <c r="F1698" s="2" t="s">
        <v>17</v>
      </c>
      <c r="G1698" s="2" t="s">
        <v>18</v>
      </c>
      <c r="H1698" s="2" t="s">
        <v>19</v>
      </c>
      <c r="I1698" s="2" t="s">
        <v>149</v>
      </c>
      <c r="J1698" s="2" t="s">
        <v>150</v>
      </c>
      <c r="K1698" s="2" t="s">
        <v>1266</v>
      </c>
      <c r="L1698" s="3">
        <v>0.61458333333333337</v>
      </c>
      <c r="M1698" s="2" t="s">
        <v>246</v>
      </c>
      <c r="N1698" s="2" t="s">
        <v>500</v>
      </c>
      <c r="O1698" s="2"/>
      <c r="P1698" s="4"/>
      <c r="Q1698" s="4"/>
      <c r="R1698" s="4"/>
      <c r="S1698" s="4"/>
      <c r="T1698" s="4"/>
      <c r="U1698" s="4"/>
      <c r="V1698" s="4"/>
      <c r="W1698" s="4"/>
      <c r="X1698" s="4"/>
      <c r="Y1698" s="4"/>
      <c r="Z1698" s="4"/>
      <c r="AA1698" s="4"/>
      <c r="AB1698" s="4"/>
      <c r="AC1698" s="4"/>
      <c r="AD1698" s="4"/>
      <c r="AE1698" s="4"/>
      <c r="AF1698" s="4"/>
      <c r="AG1698" s="4"/>
      <c r="AH1698" s="4"/>
      <c r="AI1698" s="4"/>
      <c r="AJ1698" s="4"/>
      <c r="AK1698" s="4"/>
      <c r="AL1698" s="4"/>
      <c r="AM1698" s="4"/>
      <c r="AN1698" s="4"/>
      <c r="AO1698" s="4"/>
      <c r="AP1698" s="4"/>
      <c r="AQ1698" s="4"/>
      <c r="AR1698" s="4"/>
      <c r="AS1698" s="4"/>
      <c r="AT1698" s="4"/>
      <c r="AU1698" s="4"/>
      <c r="AV1698" s="4"/>
      <c r="AW1698" s="4"/>
      <c r="AX1698" s="4"/>
      <c r="AY1698" s="4"/>
      <c r="AZ1698" s="4"/>
      <c r="BA1698" s="4"/>
      <c r="BB1698" s="4"/>
      <c r="BC1698" s="4"/>
      <c r="BD1698" s="4"/>
      <c r="BE1698" s="4"/>
      <c r="BF1698" s="4"/>
      <c r="BG1698" s="4"/>
      <c r="BH1698" s="4"/>
      <c r="BI1698" s="4"/>
      <c r="BJ1698" s="4"/>
      <c r="BK1698" s="4"/>
      <c r="BL1698" s="4"/>
      <c r="BM1698" s="4"/>
      <c r="BN1698" s="4"/>
      <c r="BO1698" s="4"/>
      <c r="BP1698" s="4"/>
      <c r="BQ1698" s="4"/>
      <c r="BR1698" s="4"/>
      <c r="BS1698" s="4"/>
      <c r="BT1698" s="4"/>
      <c r="BU1698" s="4"/>
      <c r="BV1698" s="4"/>
      <c r="BW1698" s="4"/>
      <c r="BX1698" s="4"/>
      <c r="BY1698" s="4"/>
      <c r="BZ1698" s="4"/>
      <c r="CA1698" s="4"/>
      <c r="CB1698" s="4"/>
      <c r="CC1698" s="4"/>
      <c r="CD1698" s="4"/>
      <c r="CE1698" s="4"/>
      <c r="CF1698" s="4"/>
      <c r="CG1698" s="4"/>
      <c r="CH1698" s="4"/>
      <c r="CI1698" s="4"/>
      <c r="CJ1698" s="4"/>
      <c r="CK1698" s="4"/>
      <c r="CL1698" s="4"/>
      <c r="CM1698" s="4"/>
      <c r="CN1698" s="4"/>
      <c r="CO1698" s="4"/>
      <c r="CP1698" s="4"/>
      <c r="CQ1698" s="4"/>
      <c r="CR1698" s="4"/>
      <c r="CS1698" s="4"/>
      <c r="CT1698" s="4"/>
      <c r="CU1698" s="4"/>
      <c r="CV1698" s="4"/>
      <c r="CW1698" s="4"/>
      <c r="CX1698" s="4"/>
      <c r="CY1698" s="4"/>
      <c r="CZ1698" s="4"/>
      <c r="DA1698" s="4"/>
      <c r="DB1698" s="4"/>
      <c r="DC1698" s="4"/>
      <c r="DD1698" s="4"/>
      <c r="DE1698" s="4"/>
      <c r="DF1698" s="4"/>
      <c r="DG1698" s="4"/>
      <c r="DH1698" s="4"/>
      <c r="DI1698" s="4"/>
      <c r="DJ1698" s="4"/>
      <c r="DK1698" s="4"/>
      <c r="DL1698" s="4"/>
      <c r="DM1698" s="4"/>
      <c r="DN1698" s="4"/>
      <c r="DO1698" s="4"/>
      <c r="DP1698" s="4"/>
      <c r="DQ1698" s="4"/>
      <c r="DR1698" s="4"/>
    </row>
    <row r="1699" spans="1:122" s="11" customFormat="1" x14ac:dyDescent="0.25">
      <c r="A1699" s="5" t="s">
        <v>15</v>
      </c>
      <c r="B1699" s="5" t="str">
        <f>"FES1162769773"</f>
        <v>FES1162769773</v>
      </c>
      <c r="C1699" s="5" t="s">
        <v>1190</v>
      </c>
      <c r="D1699" s="5">
        <v>1</v>
      </c>
      <c r="E1699" s="5" t="str">
        <f>"2170756997"</f>
        <v>2170756997</v>
      </c>
      <c r="F1699" s="5" t="s">
        <v>17</v>
      </c>
      <c r="G1699" s="5" t="s">
        <v>18</v>
      </c>
      <c r="H1699" s="5" t="s">
        <v>19</v>
      </c>
      <c r="I1699" s="5" t="s">
        <v>85</v>
      </c>
      <c r="J1699" s="5" t="s">
        <v>86</v>
      </c>
      <c r="K1699" s="5" t="s">
        <v>1513</v>
      </c>
      <c r="L1699" s="9">
        <v>0.55972222222222223</v>
      </c>
      <c r="M1699" s="5" t="s">
        <v>1815</v>
      </c>
      <c r="N1699" s="5" t="s">
        <v>500</v>
      </c>
      <c r="O1699" s="5"/>
      <c r="P1699" s="4"/>
      <c r="Q1699" s="4"/>
      <c r="R1699" s="4"/>
      <c r="S1699" s="4"/>
      <c r="T1699" s="4"/>
      <c r="U1699" s="4"/>
      <c r="V1699" s="4"/>
      <c r="W1699" s="4"/>
      <c r="X1699" s="4"/>
      <c r="Y1699" s="4"/>
      <c r="Z1699" s="4"/>
      <c r="AA1699" s="4"/>
      <c r="AB1699" s="4"/>
      <c r="AC1699" s="4"/>
      <c r="AD1699" s="4"/>
      <c r="AE1699" s="4"/>
      <c r="AF1699" s="4"/>
      <c r="AG1699" s="4"/>
      <c r="AH1699" s="4"/>
      <c r="AI1699" s="4"/>
      <c r="AJ1699" s="4"/>
      <c r="AK1699" s="4"/>
      <c r="AL1699" s="4"/>
      <c r="AM1699" s="4"/>
      <c r="AN1699" s="4"/>
      <c r="AO1699" s="4"/>
      <c r="AP1699" s="4"/>
      <c r="AQ1699" s="4"/>
      <c r="AR1699" s="4"/>
      <c r="AS1699" s="4"/>
      <c r="AT1699" s="4"/>
      <c r="AU1699" s="4"/>
      <c r="AV1699" s="4"/>
      <c r="AW1699" s="4"/>
      <c r="AX1699" s="4"/>
      <c r="AY1699" s="4"/>
      <c r="AZ1699" s="4"/>
      <c r="BA1699" s="4"/>
      <c r="BB1699" s="4"/>
      <c r="BC1699" s="4"/>
      <c r="BD1699" s="4"/>
      <c r="BE1699" s="4"/>
      <c r="BF1699" s="4"/>
      <c r="BG1699" s="4"/>
      <c r="BH1699" s="4"/>
      <c r="BI1699" s="4"/>
      <c r="BJ1699" s="4"/>
      <c r="BK1699" s="4"/>
      <c r="BL1699" s="4"/>
      <c r="BM1699" s="4"/>
      <c r="BN1699" s="4"/>
      <c r="BO1699" s="4"/>
      <c r="BP1699" s="4"/>
      <c r="BQ1699" s="4"/>
      <c r="BR1699" s="4"/>
      <c r="BS1699" s="4"/>
      <c r="BT1699" s="4"/>
      <c r="BU1699" s="4"/>
      <c r="BV1699" s="4"/>
      <c r="BW1699" s="4"/>
      <c r="BX1699" s="4"/>
      <c r="BY1699" s="4"/>
      <c r="BZ1699" s="4"/>
      <c r="CA1699" s="4"/>
      <c r="CB1699" s="4"/>
      <c r="CC1699" s="4"/>
      <c r="CD1699" s="4"/>
      <c r="CE1699" s="4"/>
      <c r="CF1699" s="4"/>
      <c r="CG1699" s="4"/>
      <c r="CH1699" s="4"/>
      <c r="CI1699" s="4"/>
      <c r="CJ1699" s="4"/>
      <c r="CK1699" s="4"/>
      <c r="CL1699" s="4"/>
      <c r="CM1699" s="4"/>
      <c r="CN1699" s="4"/>
      <c r="CO1699" s="4"/>
      <c r="CP1699" s="4"/>
      <c r="CQ1699" s="4"/>
      <c r="CR1699" s="4"/>
      <c r="CS1699" s="4"/>
      <c r="CT1699" s="4"/>
      <c r="CU1699" s="4"/>
      <c r="CV1699" s="4"/>
      <c r="CW1699" s="4"/>
      <c r="CX1699" s="4"/>
      <c r="CY1699" s="4"/>
      <c r="CZ1699" s="4"/>
      <c r="DA1699" s="4"/>
      <c r="DB1699" s="4"/>
      <c r="DC1699" s="4"/>
      <c r="DD1699" s="4"/>
      <c r="DE1699" s="4"/>
      <c r="DF1699" s="4"/>
      <c r="DG1699" s="4"/>
      <c r="DH1699" s="4"/>
      <c r="DI1699" s="4"/>
      <c r="DJ1699" s="4"/>
      <c r="DK1699" s="4"/>
      <c r="DL1699" s="4"/>
      <c r="DM1699" s="4"/>
      <c r="DN1699" s="4"/>
      <c r="DO1699" s="4"/>
      <c r="DP1699" s="4"/>
      <c r="DQ1699" s="4"/>
      <c r="DR1699" s="4"/>
    </row>
    <row r="1700" spans="1:122" x14ac:dyDescent="0.25">
      <c r="A1700" s="2" t="s">
        <v>15</v>
      </c>
      <c r="B1700" s="2" t="str">
        <f>"FES1162769554"</f>
        <v>FES1162769554</v>
      </c>
      <c r="C1700" s="2" t="s">
        <v>1190</v>
      </c>
      <c r="D1700" s="2">
        <v>1</v>
      </c>
      <c r="E1700" s="2" t="str">
        <f>"2170756540"</f>
        <v>2170756540</v>
      </c>
      <c r="F1700" s="2" t="s">
        <v>17</v>
      </c>
      <c r="G1700" s="2" t="s">
        <v>18</v>
      </c>
      <c r="H1700" s="2" t="s">
        <v>36</v>
      </c>
      <c r="I1700" s="2" t="s">
        <v>37</v>
      </c>
      <c r="J1700" s="2" t="s">
        <v>55</v>
      </c>
      <c r="K1700" s="2" t="s">
        <v>1266</v>
      </c>
      <c r="L1700" s="3">
        <v>0.36874999999999997</v>
      </c>
      <c r="M1700" s="2" t="s">
        <v>970</v>
      </c>
      <c r="N1700" s="2" t="s">
        <v>500</v>
      </c>
      <c r="O1700" s="2"/>
      <c r="P1700" s="4"/>
      <c r="Q1700" s="4"/>
      <c r="R1700" s="4"/>
      <c r="S1700" s="4"/>
      <c r="T1700" s="4"/>
      <c r="U1700" s="4"/>
      <c r="V1700" s="4"/>
      <c r="W1700" s="4"/>
      <c r="X1700" s="4"/>
      <c r="Y1700" s="4"/>
      <c r="Z1700" s="4"/>
      <c r="AA1700" s="4"/>
      <c r="AB1700" s="4"/>
      <c r="AC1700" s="4"/>
      <c r="AD1700" s="4"/>
      <c r="AE1700" s="4"/>
      <c r="AF1700" s="4"/>
      <c r="AG1700" s="4"/>
      <c r="AH1700" s="4"/>
      <c r="AI1700" s="4"/>
      <c r="AJ1700" s="4"/>
      <c r="AK1700" s="4"/>
      <c r="AL1700" s="4"/>
      <c r="AM1700" s="4"/>
      <c r="AN1700" s="4"/>
      <c r="AO1700" s="4"/>
      <c r="AP1700" s="4"/>
      <c r="AQ1700" s="4"/>
      <c r="AR1700" s="4"/>
      <c r="AS1700" s="4"/>
      <c r="AT1700" s="4"/>
      <c r="AU1700" s="4"/>
      <c r="AV1700" s="4"/>
      <c r="AW1700" s="4"/>
      <c r="AX1700" s="4"/>
      <c r="AY1700" s="4"/>
      <c r="AZ1700" s="4"/>
      <c r="BA1700" s="4"/>
      <c r="BB1700" s="4"/>
      <c r="BC1700" s="4"/>
      <c r="BD1700" s="4"/>
      <c r="BE1700" s="4"/>
      <c r="BF1700" s="4"/>
      <c r="BG1700" s="4"/>
      <c r="BH1700" s="4"/>
      <c r="BI1700" s="4"/>
      <c r="BJ1700" s="4"/>
      <c r="BK1700" s="4"/>
      <c r="BL1700" s="4"/>
      <c r="BM1700" s="4"/>
      <c r="BN1700" s="4"/>
      <c r="BO1700" s="4"/>
      <c r="BP1700" s="4"/>
      <c r="BQ1700" s="4"/>
      <c r="BR1700" s="4"/>
      <c r="BS1700" s="4"/>
      <c r="BT1700" s="4"/>
      <c r="BU1700" s="4"/>
      <c r="BV1700" s="4"/>
      <c r="BW1700" s="4"/>
      <c r="BX1700" s="4"/>
      <c r="BY1700" s="4"/>
      <c r="BZ1700" s="4"/>
      <c r="CA1700" s="4"/>
      <c r="CB1700" s="4"/>
      <c r="CC1700" s="4"/>
      <c r="CD1700" s="4"/>
      <c r="CE1700" s="4"/>
      <c r="CF1700" s="4"/>
      <c r="CG1700" s="4"/>
      <c r="CH1700" s="4"/>
      <c r="CI1700" s="4"/>
      <c r="CJ1700" s="4"/>
      <c r="CK1700" s="4"/>
      <c r="CL1700" s="4"/>
      <c r="CM1700" s="4"/>
      <c r="CN1700" s="4"/>
      <c r="CO1700" s="4"/>
      <c r="CP1700" s="4"/>
      <c r="CQ1700" s="4"/>
      <c r="CR1700" s="4"/>
      <c r="CS1700" s="4"/>
      <c r="CT1700" s="4"/>
      <c r="CU1700" s="4"/>
      <c r="CV1700" s="4"/>
      <c r="CW1700" s="4"/>
      <c r="CX1700" s="4"/>
      <c r="CY1700" s="4"/>
      <c r="CZ1700" s="4"/>
      <c r="DA1700" s="4"/>
      <c r="DB1700" s="4"/>
      <c r="DC1700" s="4"/>
      <c r="DD1700" s="4"/>
      <c r="DE1700" s="4"/>
      <c r="DF1700" s="4"/>
      <c r="DG1700" s="4"/>
      <c r="DH1700" s="4"/>
      <c r="DI1700" s="4"/>
      <c r="DJ1700" s="4"/>
      <c r="DK1700" s="4"/>
      <c r="DL1700" s="4"/>
      <c r="DM1700" s="4"/>
      <c r="DN1700" s="4"/>
      <c r="DO1700" s="4"/>
      <c r="DP1700" s="4"/>
      <c r="DQ1700" s="4"/>
      <c r="DR1700" s="4"/>
    </row>
    <row r="1701" spans="1:122" x14ac:dyDescent="0.25">
      <c r="A1701" s="2" t="s">
        <v>15</v>
      </c>
      <c r="B1701" s="2" t="str">
        <f>"FES1162769753"</f>
        <v>FES1162769753</v>
      </c>
      <c r="C1701" s="2" t="s">
        <v>1190</v>
      </c>
      <c r="D1701" s="2">
        <v>1</v>
      </c>
      <c r="E1701" s="2" t="str">
        <f>"2170756964"</f>
        <v>2170756964</v>
      </c>
      <c r="F1701" s="2" t="s">
        <v>17</v>
      </c>
      <c r="G1701" s="2" t="s">
        <v>18</v>
      </c>
      <c r="H1701" s="2" t="s">
        <v>25</v>
      </c>
      <c r="I1701" s="2" t="s">
        <v>26</v>
      </c>
      <c r="J1701" s="2" t="s">
        <v>785</v>
      </c>
      <c r="K1701" s="2" t="s">
        <v>1266</v>
      </c>
      <c r="L1701" s="3">
        <v>0.42708333333333331</v>
      </c>
      <c r="M1701" s="2" t="s">
        <v>1207</v>
      </c>
      <c r="N1701" s="2" t="s">
        <v>500</v>
      </c>
      <c r="O1701" s="2"/>
      <c r="P1701" s="4"/>
      <c r="Q1701" s="4"/>
      <c r="R1701" s="4"/>
      <c r="S1701" s="4"/>
      <c r="T1701" s="4"/>
      <c r="U1701" s="4"/>
      <c r="V1701" s="4"/>
      <c r="W1701" s="4"/>
      <c r="X1701" s="4"/>
      <c r="Y1701" s="4"/>
      <c r="Z1701" s="4"/>
      <c r="AA1701" s="4"/>
      <c r="AB1701" s="4"/>
      <c r="AC1701" s="4"/>
      <c r="AD1701" s="4"/>
      <c r="AE1701" s="4"/>
      <c r="AF1701" s="4"/>
      <c r="AG1701" s="4"/>
      <c r="AH1701" s="4"/>
      <c r="AI1701" s="4"/>
      <c r="AJ1701" s="4"/>
      <c r="AK1701" s="4"/>
      <c r="AL1701" s="4"/>
      <c r="AM1701" s="4"/>
      <c r="AN1701" s="4"/>
      <c r="AO1701" s="4"/>
      <c r="AP1701" s="4"/>
      <c r="AQ1701" s="4"/>
      <c r="AR1701" s="4"/>
      <c r="AS1701" s="4"/>
      <c r="AT1701" s="4"/>
      <c r="AU1701" s="4"/>
      <c r="AV1701" s="4"/>
      <c r="AW1701" s="4"/>
      <c r="AX1701" s="4"/>
      <c r="AY1701" s="4"/>
      <c r="AZ1701" s="4"/>
      <c r="BA1701" s="4"/>
      <c r="BB1701" s="4"/>
      <c r="BC1701" s="4"/>
      <c r="BD1701" s="4"/>
      <c r="BE1701" s="4"/>
      <c r="BF1701" s="4"/>
      <c r="BG1701" s="4"/>
      <c r="BH1701" s="4"/>
      <c r="BI1701" s="4"/>
      <c r="BJ1701" s="4"/>
      <c r="BK1701" s="4"/>
      <c r="BL1701" s="4"/>
      <c r="BM1701" s="4"/>
      <c r="BN1701" s="4"/>
      <c r="BO1701" s="4"/>
      <c r="BP1701" s="4"/>
      <c r="BQ1701" s="4"/>
      <c r="BR1701" s="4"/>
      <c r="BS1701" s="4"/>
      <c r="BT1701" s="4"/>
      <c r="BU1701" s="4"/>
      <c r="BV1701" s="4"/>
      <c r="BW1701" s="4"/>
      <c r="BX1701" s="4"/>
      <c r="BY1701" s="4"/>
      <c r="BZ1701" s="4"/>
      <c r="CA1701" s="4"/>
      <c r="CB1701" s="4"/>
      <c r="CC1701" s="4"/>
      <c r="CD1701" s="4"/>
      <c r="CE1701" s="4"/>
      <c r="CF1701" s="4"/>
      <c r="CG1701" s="4"/>
      <c r="CH1701" s="4"/>
      <c r="CI1701" s="4"/>
      <c r="CJ1701" s="4"/>
      <c r="CK1701" s="4"/>
      <c r="CL1701" s="4"/>
      <c r="CM1701" s="4"/>
      <c r="CN1701" s="4"/>
      <c r="CO1701" s="4"/>
      <c r="CP1701" s="4"/>
      <c r="CQ1701" s="4"/>
      <c r="CR1701" s="4"/>
      <c r="CS1701" s="4"/>
      <c r="CT1701" s="4"/>
      <c r="CU1701" s="4"/>
      <c r="CV1701" s="4"/>
      <c r="CW1701" s="4"/>
      <c r="CX1701" s="4"/>
      <c r="CY1701" s="4"/>
      <c r="CZ1701" s="4"/>
      <c r="DA1701" s="4"/>
      <c r="DB1701" s="4"/>
      <c r="DC1701" s="4"/>
      <c r="DD1701" s="4"/>
      <c r="DE1701" s="4"/>
      <c r="DF1701" s="4"/>
      <c r="DG1701" s="4"/>
      <c r="DH1701" s="4"/>
      <c r="DI1701" s="4"/>
      <c r="DJ1701" s="4"/>
      <c r="DK1701" s="4"/>
      <c r="DL1701" s="4"/>
      <c r="DM1701" s="4"/>
      <c r="DN1701" s="4"/>
      <c r="DO1701" s="4"/>
      <c r="DP1701" s="4"/>
      <c r="DQ1701" s="4"/>
      <c r="DR1701" s="4"/>
    </row>
    <row r="1702" spans="1:122" x14ac:dyDescent="0.25">
      <c r="A1702" s="2" t="s">
        <v>15</v>
      </c>
      <c r="B1702" s="2" t="str">
        <f>"FES1162769608"</f>
        <v>FES1162769608</v>
      </c>
      <c r="C1702" s="2" t="s">
        <v>1190</v>
      </c>
      <c r="D1702" s="2">
        <v>1</v>
      </c>
      <c r="E1702" s="2" t="str">
        <f>"2170756670"</f>
        <v>2170756670</v>
      </c>
      <c r="F1702" s="2" t="s">
        <v>17</v>
      </c>
      <c r="G1702" s="2" t="s">
        <v>18</v>
      </c>
      <c r="H1702" s="2" t="s">
        <v>25</v>
      </c>
      <c r="I1702" s="2" t="s">
        <v>26</v>
      </c>
      <c r="J1702" s="2" t="s">
        <v>1143</v>
      </c>
      <c r="K1702" s="2" t="s">
        <v>1266</v>
      </c>
      <c r="L1702" s="3">
        <v>0.41666666666666669</v>
      </c>
      <c r="M1702" s="2" t="s">
        <v>1378</v>
      </c>
      <c r="N1702" s="2" t="s">
        <v>500</v>
      </c>
      <c r="O1702" s="2"/>
      <c r="P1702" s="4"/>
      <c r="Q1702" s="4"/>
      <c r="R1702" s="4"/>
      <c r="S1702" s="4"/>
      <c r="T1702" s="4"/>
      <c r="U1702" s="4"/>
      <c r="V1702" s="4"/>
      <c r="W1702" s="4"/>
      <c r="X1702" s="4"/>
      <c r="Y1702" s="4"/>
      <c r="Z1702" s="4"/>
      <c r="AA1702" s="4"/>
      <c r="AB1702" s="4"/>
      <c r="AC1702" s="4"/>
      <c r="AD1702" s="4"/>
      <c r="AE1702" s="4"/>
      <c r="AF1702" s="4"/>
      <c r="AG1702" s="4"/>
      <c r="AH1702" s="4"/>
      <c r="AI1702" s="4"/>
      <c r="AJ1702" s="4"/>
      <c r="AK1702" s="4"/>
      <c r="AL1702" s="4"/>
      <c r="AM1702" s="4"/>
      <c r="AN1702" s="4"/>
      <c r="AO1702" s="4"/>
      <c r="AP1702" s="4"/>
      <c r="AQ1702" s="4"/>
      <c r="AR1702" s="4"/>
      <c r="AS1702" s="4"/>
      <c r="AT1702" s="4"/>
      <c r="AU1702" s="4"/>
      <c r="AV1702" s="4"/>
      <c r="AW1702" s="4"/>
      <c r="AX1702" s="4"/>
      <c r="AY1702" s="4"/>
      <c r="AZ1702" s="4"/>
      <c r="BA1702" s="4"/>
      <c r="BB1702" s="4"/>
      <c r="BC1702" s="4"/>
      <c r="BD1702" s="4"/>
      <c r="BE1702" s="4"/>
      <c r="BF1702" s="4"/>
      <c r="BG1702" s="4"/>
      <c r="BH1702" s="4"/>
      <c r="BI1702" s="4"/>
      <c r="BJ1702" s="4"/>
      <c r="BK1702" s="4"/>
      <c r="BL1702" s="4"/>
      <c r="BM1702" s="4"/>
      <c r="BN1702" s="4"/>
      <c r="BO1702" s="4"/>
      <c r="BP1702" s="4"/>
      <c r="BQ1702" s="4"/>
      <c r="BR1702" s="4"/>
      <c r="BS1702" s="4"/>
      <c r="BT1702" s="4"/>
      <c r="BU1702" s="4"/>
      <c r="BV1702" s="4"/>
      <c r="BW1702" s="4"/>
      <c r="BX1702" s="4"/>
      <c r="BY1702" s="4"/>
      <c r="BZ1702" s="4"/>
      <c r="CA1702" s="4"/>
      <c r="CB1702" s="4"/>
      <c r="CC1702" s="4"/>
      <c r="CD1702" s="4"/>
      <c r="CE1702" s="4"/>
      <c r="CF1702" s="4"/>
      <c r="CG1702" s="4"/>
      <c r="CH1702" s="4"/>
      <c r="CI1702" s="4"/>
      <c r="CJ1702" s="4"/>
      <c r="CK1702" s="4"/>
      <c r="CL1702" s="4"/>
      <c r="CM1702" s="4"/>
      <c r="CN1702" s="4"/>
      <c r="CO1702" s="4"/>
      <c r="CP1702" s="4"/>
      <c r="CQ1702" s="4"/>
      <c r="CR1702" s="4"/>
      <c r="CS1702" s="4"/>
      <c r="CT1702" s="4"/>
      <c r="CU1702" s="4"/>
      <c r="CV1702" s="4"/>
      <c r="CW1702" s="4"/>
      <c r="CX1702" s="4"/>
      <c r="CY1702" s="4"/>
      <c r="CZ1702" s="4"/>
      <c r="DA1702" s="4"/>
      <c r="DB1702" s="4"/>
      <c r="DC1702" s="4"/>
      <c r="DD1702" s="4"/>
      <c r="DE1702" s="4"/>
      <c r="DF1702" s="4"/>
      <c r="DG1702" s="4"/>
      <c r="DH1702" s="4"/>
      <c r="DI1702" s="4"/>
      <c r="DJ1702" s="4"/>
      <c r="DK1702" s="4"/>
      <c r="DL1702" s="4"/>
      <c r="DM1702" s="4"/>
      <c r="DN1702" s="4"/>
      <c r="DO1702" s="4"/>
      <c r="DP1702" s="4"/>
      <c r="DQ1702" s="4"/>
      <c r="DR1702" s="4"/>
    </row>
    <row r="1703" spans="1:122" x14ac:dyDescent="0.25">
      <c r="A1703" s="2" t="s">
        <v>15</v>
      </c>
      <c r="B1703" s="2" t="str">
        <f>"FES1162769698"</f>
        <v>FES1162769698</v>
      </c>
      <c r="C1703" s="2" t="s">
        <v>1190</v>
      </c>
      <c r="D1703" s="2">
        <v>1</v>
      </c>
      <c r="E1703" s="2" t="str">
        <f>"2170756834"</f>
        <v>2170756834</v>
      </c>
      <c r="F1703" s="2" t="s">
        <v>17</v>
      </c>
      <c r="G1703" s="2" t="s">
        <v>18</v>
      </c>
      <c r="H1703" s="2" t="s">
        <v>18</v>
      </c>
      <c r="I1703" s="2" t="s">
        <v>57</v>
      </c>
      <c r="J1703" s="2" t="s">
        <v>1313</v>
      </c>
      <c r="K1703" s="2" t="s">
        <v>1266</v>
      </c>
      <c r="L1703" s="3">
        <v>0.33333333333333331</v>
      </c>
      <c r="M1703" s="2" t="s">
        <v>1379</v>
      </c>
      <c r="N1703" s="2" t="s">
        <v>500</v>
      </c>
      <c r="O1703" s="2"/>
      <c r="P1703" s="4"/>
      <c r="Q1703" s="4"/>
      <c r="R1703" s="4"/>
      <c r="S1703" s="4"/>
      <c r="T1703" s="4"/>
      <c r="U1703" s="4"/>
      <c r="V1703" s="4"/>
      <c r="W1703" s="4"/>
      <c r="X1703" s="4"/>
      <c r="Y1703" s="4"/>
      <c r="Z1703" s="4"/>
      <c r="AA1703" s="4"/>
      <c r="AB1703" s="4"/>
      <c r="AC1703" s="4"/>
      <c r="AD1703" s="4"/>
      <c r="AE1703" s="4"/>
      <c r="AF1703" s="4"/>
      <c r="AG1703" s="4"/>
      <c r="AH1703" s="4"/>
      <c r="AI1703" s="4"/>
      <c r="AJ1703" s="4"/>
      <c r="AK1703" s="4"/>
      <c r="AL1703" s="4"/>
      <c r="AM1703" s="4"/>
      <c r="AN1703" s="4"/>
      <c r="AO1703" s="4"/>
      <c r="AP1703" s="4"/>
      <c r="AQ1703" s="4"/>
      <c r="AR1703" s="4"/>
      <c r="AS1703" s="4"/>
      <c r="AT1703" s="4"/>
      <c r="AU1703" s="4"/>
      <c r="AV1703" s="4"/>
      <c r="AW1703" s="4"/>
      <c r="AX1703" s="4"/>
      <c r="AY1703" s="4"/>
      <c r="AZ1703" s="4"/>
      <c r="BA1703" s="4"/>
      <c r="BB1703" s="4"/>
      <c r="BC1703" s="4"/>
      <c r="BD1703" s="4"/>
      <c r="BE1703" s="4"/>
      <c r="BF1703" s="4"/>
      <c r="BG1703" s="4"/>
      <c r="BH1703" s="4"/>
      <c r="BI1703" s="4"/>
      <c r="BJ1703" s="4"/>
      <c r="BK1703" s="4"/>
      <c r="BL1703" s="4"/>
      <c r="BM1703" s="4"/>
      <c r="BN1703" s="4"/>
      <c r="BO1703" s="4"/>
      <c r="BP1703" s="4"/>
      <c r="BQ1703" s="4"/>
      <c r="BR1703" s="4"/>
      <c r="BS1703" s="4"/>
      <c r="BT1703" s="4"/>
      <c r="BU1703" s="4"/>
      <c r="BV1703" s="4"/>
      <c r="BW1703" s="4"/>
      <c r="BX1703" s="4"/>
      <c r="BY1703" s="4"/>
      <c r="BZ1703" s="4"/>
      <c r="CA1703" s="4"/>
      <c r="CB1703" s="4"/>
      <c r="CC1703" s="4"/>
      <c r="CD1703" s="4"/>
      <c r="CE1703" s="4"/>
      <c r="CF1703" s="4"/>
      <c r="CG1703" s="4"/>
      <c r="CH1703" s="4"/>
      <c r="CI1703" s="4"/>
      <c r="CJ1703" s="4"/>
      <c r="CK1703" s="4"/>
      <c r="CL1703" s="4"/>
      <c r="CM1703" s="4"/>
      <c r="CN1703" s="4"/>
      <c r="CO1703" s="4"/>
      <c r="CP1703" s="4"/>
      <c r="CQ1703" s="4"/>
      <c r="CR1703" s="4"/>
      <c r="CS1703" s="4"/>
      <c r="CT1703" s="4"/>
      <c r="CU1703" s="4"/>
      <c r="CV1703" s="4"/>
      <c r="CW1703" s="4"/>
      <c r="CX1703" s="4"/>
      <c r="CY1703" s="4"/>
      <c r="CZ1703" s="4"/>
      <c r="DA1703" s="4"/>
      <c r="DB1703" s="4"/>
      <c r="DC1703" s="4"/>
      <c r="DD1703" s="4"/>
      <c r="DE1703" s="4"/>
      <c r="DF1703" s="4"/>
      <c r="DG1703" s="4"/>
      <c r="DH1703" s="4"/>
      <c r="DI1703" s="4"/>
      <c r="DJ1703" s="4"/>
      <c r="DK1703" s="4"/>
      <c r="DL1703" s="4"/>
      <c r="DM1703" s="4"/>
      <c r="DN1703" s="4"/>
      <c r="DO1703" s="4"/>
      <c r="DP1703" s="4"/>
      <c r="DQ1703" s="4"/>
      <c r="DR1703" s="4"/>
    </row>
    <row r="1704" spans="1:122" x14ac:dyDescent="0.25">
      <c r="A1704" s="2" t="s">
        <v>15</v>
      </c>
      <c r="B1704" s="2" t="str">
        <f>"FES1162769676"</f>
        <v>FES1162769676</v>
      </c>
      <c r="C1704" s="2" t="s">
        <v>1190</v>
      </c>
      <c r="D1704" s="2">
        <v>1</v>
      </c>
      <c r="E1704" s="2" t="str">
        <f>"2170756784"</f>
        <v>2170756784</v>
      </c>
      <c r="F1704" s="2" t="s">
        <v>17</v>
      </c>
      <c r="G1704" s="2" t="s">
        <v>18</v>
      </c>
      <c r="H1704" s="2" t="s">
        <v>25</v>
      </c>
      <c r="I1704" s="2" t="s">
        <v>26</v>
      </c>
      <c r="J1704" s="2" t="s">
        <v>353</v>
      </c>
      <c r="K1704" s="2" t="s">
        <v>1266</v>
      </c>
      <c r="L1704" s="3">
        <v>0.41666666666666669</v>
      </c>
      <c r="M1704" s="2" t="s">
        <v>354</v>
      </c>
      <c r="N1704" s="2" t="s">
        <v>500</v>
      </c>
      <c r="O1704" s="2"/>
      <c r="P1704" s="4"/>
      <c r="Q1704" s="4"/>
      <c r="R1704" s="4"/>
      <c r="S1704" s="4"/>
      <c r="T1704" s="4"/>
      <c r="U1704" s="4"/>
      <c r="V1704" s="4"/>
      <c r="W1704" s="4"/>
      <c r="X1704" s="4"/>
      <c r="Y1704" s="4"/>
      <c r="Z1704" s="4"/>
      <c r="AA1704" s="4"/>
      <c r="AB1704" s="4"/>
      <c r="AC1704" s="4"/>
      <c r="AD1704" s="4"/>
      <c r="AE1704" s="4"/>
      <c r="AF1704" s="4"/>
      <c r="AG1704" s="4"/>
      <c r="AH1704" s="4"/>
      <c r="AI1704" s="4"/>
      <c r="AJ1704" s="4"/>
      <c r="AK1704" s="4"/>
      <c r="AL1704" s="4"/>
      <c r="AM1704" s="4"/>
      <c r="AN1704" s="4"/>
      <c r="AO1704" s="4"/>
      <c r="AP1704" s="4"/>
      <c r="AQ1704" s="4"/>
      <c r="AR1704" s="4"/>
      <c r="AS1704" s="4"/>
      <c r="AT1704" s="4"/>
      <c r="AU1704" s="4"/>
      <c r="AV1704" s="4"/>
      <c r="AW1704" s="4"/>
      <c r="AX1704" s="4"/>
      <c r="AY1704" s="4"/>
      <c r="AZ1704" s="4"/>
      <c r="BA1704" s="4"/>
      <c r="BB1704" s="4"/>
      <c r="BC1704" s="4"/>
      <c r="BD1704" s="4"/>
      <c r="BE1704" s="4"/>
      <c r="BF1704" s="4"/>
      <c r="BG1704" s="4"/>
      <c r="BH1704" s="4"/>
      <c r="BI1704" s="4"/>
      <c r="BJ1704" s="4"/>
      <c r="BK1704" s="4"/>
      <c r="BL1704" s="4"/>
      <c r="BM1704" s="4"/>
      <c r="BN1704" s="4"/>
      <c r="BO1704" s="4"/>
      <c r="BP1704" s="4"/>
      <c r="BQ1704" s="4"/>
      <c r="BR1704" s="4"/>
      <c r="BS1704" s="4"/>
      <c r="BT1704" s="4"/>
      <c r="BU1704" s="4"/>
      <c r="BV1704" s="4"/>
      <c r="BW1704" s="4"/>
      <c r="BX1704" s="4"/>
      <c r="BY1704" s="4"/>
      <c r="BZ1704" s="4"/>
      <c r="CA1704" s="4"/>
      <c r="CB1704" s="4"/>
      <c r="CC1704" s="4"/>
      <c r="CD1704" s="4"/>
      <c r="CE1704" s="4"/>
      <c r="CF1704" s="4"/>
      <c r="CG1704" s="4"/>
      <c r="CH1704" s="4"/>
      <c r="CI1704" s="4"/>
      <c r="CJ1704" s="4"/>
      <c r="CK1704" s="4"/>
      <c r="CL1704" s="4"/>
      <c r="CM1704" s="4"/>
      <c r="CN1704" s="4"/>
      <c r="CO1704" s="4"/>
      <c r="CP1704" s="4"/>
      <c r="CQ1704" s="4"/>
      <c r="CR1704" s="4"/>
      <c r="CS1704" s="4"/>
      <c r="CT1704" s="4"/>
      <c r="CU1704" s="4"/>
      <c r="CV1704" s="4"/>
      <c r="CW1704" s="4"/>
      <c r="CX1704" s="4"/>
      <c r="CY1704" s="4"/>
      <c r="CZ1704" s="4"/>
      <c r="DA1704" s="4"/>
      <c r="DB1704" s="4"/>
      <c r="DC1704" s="4"/>
      <c r="DD1704" s="4"/>
      <c r="DE1704" s="4"/>
      <c r="DF1704" s="4"/>
      <c r="DG1704" s="4"/>
      <c r="DH1704" s="4"/>
      <c r="DI1704" s="4"/>
      <c r="DJ1704" s="4"/>
      <c r="DK1704" s="4"/>
      <c r="DL1704" s="4"/>
      <c r="DM1704" s="4"/>
      <c r="DN1704" s="4"/>
      <c r="DO1704" s="4"/>
      <c r="DP1704" s="4"/>
      <c r="DQ1704" s="4"/>
      <c r="DR1704" s="4"/>
    </row>
    <row r="1705" spans="1:122" x14ac:dyDescent="0.25">
      <c r="A1705" s="2" t="s">
        <v>15</v>
      </c>
      <c r="B1705" s="2" t="str">
        <f>"FES1162769755"</f>
        <v>FES1162769755</v>
      </c>
      <c r="C1705" s="2" t="s">
        <v>1190</v>
      </c>
      <c r="D1705" s="2">
        <v>1</v>
      </c>
      <c r="E1705" s="2" t="str">
        <f>"2170756966"</f>
        <v>2170756966</v>
      </c>
      <c r="F1705" s="2" t="s">
        <v>17</v>
      </c>
      <c r="G1705" s="2" t="s">
        <v>18</v>
      </c>
      <c r="H1705" s="2" t="s">
        <v>25</v>
      </c>
      <c r="I1705" s="2" t="s">
        <v>26</v>
      </c>
      <c r="J1705" s="2" t="s">
        <v>1288</v>
      </c>
      <c r="K1705" s="2" t="s">
        <v>1266</v>
      </c>
      <c r="L1705" s="3">
        <v>0.40138888888888885</v>
      </c>
      <c r="M1705" s="2" t="s">
        <v>1340</v>
      </c>
      <c r="N1705" s="2" t="s">
        <v>500</v>
      </c>
      <c r="O1705" s="2"/>
      <c r="P1705" s="4"/>
      <c r="Q1705" s="4"/>
      <c r="R1705" s="4"/>
      <c r="S1705" s="4"/>
      <c r="T1705" s="4"/>
      <c r="U1705" s="4"/>
      <c r="V1705" s="4"/>
      <c r="W1705" s="4"/>
      <c r="X1705" s="4"/>
      <c r="Y1705" s="4"/>
      <c r="Z1705" s="4"/>
      <c r="AA1705" s="4"/>
      <c r="AB1705" s="4"/>
      <c r="AC1705" s="4"/>
      <c r="AD1705" s="4"/>
      <c r="AE1705" s="4"/>
      <c r="AF1705" s="4"/>
      <c r="AG1705" s="4"/>
      <c r="AH1705" s="4"/>
      <c r="AI1705" s="4"/>
      <c r="AJ1705" s="4"/>
      <c r="AK1705" s="4"/>
      <c r="AL1705" s="4"/>
      <c r="AM1705" s="4"/>
      <c r="AN1705" s="4"/>
      <c r="AO1705" s="4"/>
      <c r="AP1705" s="4"/>
      <c r="AQ1705" s="4"/>
      <c r="AR1705" s="4"/>
      <c r="AS1705" s="4"/>
      <c r="AT1705" s="4"/>
      <c r="AU1705" s="4"/>
      <c r="AV1705" s="4"/>
      <c r="AW1705" s="4"/>
      <c r="AX1705" s="4"/>
      <c r="AY1705" s="4"/>
      <c r="AZ1705" s="4"/>
      <c r="BA1705" s="4"/>
      <c r="BB1705" s="4"/>
      <c r="BC1705" s="4"/>
      <c r="BD1705" s="4"/>
      <c r="BE1705" s="4"/>
      <c r="BF1705" s="4"/>
      <c r="BG1705" s="4"/>
      <c r="BH1705" s="4"/>
      <c r="BI1705" s="4"/>
      <c r="BJ1705" s="4"/>
      <c r="BK1705" s="4"/>
      <c r="BL1705" s="4"/>
      <c r="BM1705" s="4"/>
      <c r="BN1705" s="4"/>
      <c r="BO1705" s="4"/>
      <c r="BP1705" s="4"/>
      <c r="BQ1705" s="4"/>
      <c r="BR1705" s="4"/>
      <c r="BS1705" s="4"/>
      <c r="BT1705" s="4"/>
      <c r="BU1705" s="4"/>
      <c r="BV1705" s="4"/>
      <c r="BW1705" s="4"/>
      <c r="BX1705" s="4"/>
      <c r="BY1705" s="4"/>
      <c r="BZ1705" s="4"/>
      <c r="CA1705" s="4"/>
      <c r="CB1705" s="4"/>
      <c r="CC1705" s="4"/>
      <c r="CD1705" s="4"/>
      <c r="CE1705" s="4"/>
      <c r="CF1705" s="4"/>
      <c r="CG1705" s="4"/>
      <c r="CH1705" s="4"/>
      <c r="CI1705" s="4"/>
      <c r="CJ1705" s="4"/>
      <c r="CK1705" s="4"/>
      <c r="CL1705" s="4"/>
      <c r="CM1705" s="4"/>
      <c r="CN1705" s="4"/>
      <c r="CO1705" s="4"/>
      <c r="CP1705" s="4"/>
      <c r="CQ1705" s="4"/>
      <c r="CR1705" s="4"/>
      <c r="CS1705" s="4"/>
      <c r="CT1705" s="4"/>
      <c r="CU1705" s="4"/>
      <c r="CV1705" s="4"/>
      <c r="CW1705" s="4"/>
      <c r="CX1705" s="4"/>
      <c r="CY1705" s="4"/>
      <c r="CZ1705" s="4"/>
      <c r="DA1705" s="4"/>
      <c r="DB1705" s="4"/>
      <c r="DC1705" s="4"/>
      <c r="DD1705" s="4"/>
      <c r="DE1705" s="4"/>
      <c r="DF1705" s="4"/>
      <c r="DG1705" s="4"/>
      <c r="DH1705" s="4"/>
      <c r="DI1705" s="4"/>
      <c r="DJ1705" s="4"/>
      <c r="DK1705" s="4"/>
      <c r="DL1705" s="4"/>
      <c r="DM1705" s="4"/>
      <c r="DN1705" s="4"/>
      <c r="DO1705" s="4"/>
      <c r="DP1705" s="4"/>
      <c r="DQ1705" s="4"/>
      <c r="DR1705" s="4"/>
    </row>
    <row r="1706" spans="1:122" x14ac:dyDescent="0.25">
      <c r="A1706" s="2" t="s">
        <v>15</v>
      </c>
      <c r="B1706" s="2" t="str">
        <f>"FES1162769702"</f>
        <v>FES1162769702</v>
      </c>
      <c r="C1706" s="2" t="s">
        <v>1190</v>
      </c>
      <c r="D1706" s="2">
        <v>1</v>
      </c>
      <c r="E1706" s="2" t="str">
        <f>"2170756839"</f>
        <v>2170756839</v>
      </c>
      <c r="F1706" s="2" t="s">
        <v>17</v>
      </c>
      <c r="G1706" s="2" t="s">
        <v>18</v>
      </c>
      <c r="H1706" s="2" t="s">
        <v>25</v>
      </c>
      <c r="I1706" s="2" t="s">
        <v>26</v>
      </c>
      <c r="J1706" s="2" t="s">
        <v>27</v>
      </c>
      <c r="K1706" s="2" t="s">
        <v>1266</v>
      </c>
      <c r="L1706" s="3">
        <v>0.35000000000000003</v>
      </c>
      <c r="M1706" s="2" t="s">
        <v>171</v>
      </c>
      <c r="N1706" s="2" t="s">
        <v>500</v>
      </c>
      <c r="O1706" s="2"/>
      <c r="P1706" s="4"/>
      <c r="Q1706" s="4"/>
      <c r="R1706" s="4"/>
      <c r="S1706" s="4"/>
      <c r="T1706" s="4"/>
      <c r="U1706" s="4"/>
      <c r="V1706" s="4"/>
      <c r="W1706" s="4"/>
      <c r="X1706" s="4"/>
      <c r="Y1706" s="4"/>
      <c r="Z1706" s="4"/>
      <c r="AA1706" s="4"/>
      <c r="AB1706" s="4"/>
      <c r="AC1706" s="4"/>
      <c r="AD1706" s="4"/>
      <c r="AE1706" s="4"/>
      <c r="AF1706" s="4"/>
      <c r="AG1706" s="4"/>
      <c r="AH1706" s="4"/>
      <c r="AI1706" s="4"/>
      <c r="AJ1706" s="4"/>
      <c r="AK1706" s="4"/>
      <c r="AL1706" s="4"/>
      <c r="AM1706" s="4"/>
      <c r="AN1706" s="4"/>
      <c r="AO1706" s="4"/>
      <c r="AP1706" s="4"/>
      <c r="AQ1706" s="4"/>
      <c r="AR1706" s="4"/>
      <c r="AS1706" s="4"/>
      <c r="AT1706" s="4"/>
      <c r="AU1706" s="4"/>
      <c r="AV1706" s="4"/>
      <c r="AW1706" s="4"/>
      <c r="AX1706" s="4"/>
      <c r="AY1706" s="4"/>
      <c r="AZ1706" s="4"/>
      <c r="BA1706" s="4"/>
      <c r="BB1706" s="4"/>
      <c r="BC1706" s="4"/>
      <c r="BD1706" s="4"/>
      <c r="BE1706" s="4"/>
      <c r="BF1706" s="4"/>
      <c r="BG1706" s="4"/>
      <c r="BH1706" s="4"/>
      <c r="BI1706" s="4"/>
      <c r="BJ1706" s="4"/>
      <c r="BK1706" s="4"/>
      <c r="BL1706" s="4"/>
      <c r="BM1706" s="4"/>
      <c r="BN1706" s="4"/>
      <c r="BO1706" s="4"/>
      <c r="BP1706" s="4"/>
      <c r="BQ1706" s="4"/>
      <c r="BR1706" s="4"/>
      <c r="BS1706" s="4"/>
      <c r="BT1706" s="4"/>
      <c r="BU1706" s="4"/>
      <c r="BV1706" s="4"/>
      <c r="BW1706" s="4"/>
      <c r="BX1706" s="4"/>
      <c r="BY1706" s="4"/>
      <c r="BZ1706" s="4"/>
      <c r="CA1706" s="4"/>
      <c r="CB1706" s="4"/>
      <c r="CC1706" s="4"/>
      <c r="CD1706" s="4"/>
      <c r="CE1706" s="4"/>
      <c r="CF1706" s="4"/>
      <c r="CG1706" s="4"/>
      <c r="CH1706" s="4"/>
      <c r="CI1706" s="4"/>
      <c r="CJ1706" s="4"/>
      <c r="CK1706" s="4"/>
      <c r="CL1706" s="4"/>
      <c r="CM1706" s="4"/>
      <c r="CN1706" s="4"/>
      <c r="CO1706" s="4"/>
      <c r="CP1706" s="4"/>
      <c r="CQ1706" s="4"/>
      <c r="CR1706" s="4"/>
      <c r="CS1706" s="4"/>
      <c r="CT1706" s="4"/>
      <c r="CU1706" s="4"/>
      <c r="CV1706" s="4"/>
      <c r="CW1706" s="4"/>
      <c r="CX1706" s="4"/>
      <c r="CY1706" s="4"/>
      <c r="CZ1706" s="4"/>
      <c r="DA1706" s="4"/>
      <c r="DB1706" s="4"/>
      <c r="DC1706" s="4"/>
      <c r="DD1706" s="4"/>
      <c r="DE1706" s="4"/>
      <c r="DF1706" s="4"/>
      <c r="DG1706" s="4"/>
      <c r="DH1706" s="4"/>
      <c r="DI1706" s="4"/>
      <c r="DJ1706" s="4"/>
      <c r="DK1706" s="4"/>
      <c r="DL1706" s="4"/>
      <c r="DM1706" s="4"/>
      <c r="DN1706" s="4"/>
      <c r="DO1706" s="4"/>
      <c r="DP1706" s="4"/>
      <c r="DQ1706" s="4"/>
      <c r="DR1706" s="4"/>
    </row>
    <row r="1707" spans="1:122" x14ac:dyDescent="0.25">
      <c r="A1707" s="2" t="s">
        <v>15</v>
      </c>
      <c r="B1707" s="2" t="str">
        <f>"FES1162769752"</f>
        <v>FES1162769752</v>
      </c>
      <c r="C1707" s="2" t="s">
        <v>1190</v>
      </c>
      <c r="D1707" s="2">
        <v>1</v>
      </c>
      <c r="E1707" s="2" t="str">
        <f>"2170756962"</f>
        <v>2170756962</v>
      </c>
      <c r="F1707" s="2" t="s">
        <v>17</v>
      </c>
      <c r="G1707" s="2" t="s">
        <v>18</v>
      </c>
      <c r="H1707" s="2" t="s">
        <v>25</v>
      </c>
      <c r="I1707" s="2" t="s">
        <v>39</v>
      </c>
      <c r="J1707" s="2" t="s">
        <v>40</v>
      </c>
      <c r="K1707" s="2" t="s">
        <v>1266</v>
      </c>
      <c r="L1707" s="3">
        <v>0.41666666666666669</v>
      </c>
      <c r="M1707" s="2" t="s">
        <v>991</v>
      </c>
      <c r="N1707" s="2" t="s">
        <v>500</v>
      </c>
      <c r="O1707" s="2"/>
      <c r="P1707" s="4"/>
      <c r="Q1707" s="4"/>
      <c r="R1707" s="4"/>
      <c r="S1707" s="4"/>
      <c r="T1707" s="4"/>
      <c r="U1707" s="4"/>
      <c r="V1707" s="4"/>
      <c r="W1707" s="4"/>
      <c r="X1707" s="4"/>
      <c r="Y1707" s="4"/>
      <c r="Z1707" s="4"/>
      <c r="AA1707" s="4"/>
      <c r="AB1707" s="4"/>
      <c r="AC1707" s="4"/>
      <c r="AD1707" s="4"/>
      <c r="AE1707" s="4"/>
      <c r="AF1707" s="4"/>
      <c r="AG1707" s="4"/>
      <c r="AH1707" s="4"/>
      <c r="AI1707" s="4"/>
      <c r="AJ1707" s="4"/>
      <c r="AK1707" s="4"/>
      <c r="AL1707" s="4"/>
      <c r="AM1707" s="4"/>
      <c r="AN1707" s="4"/>
      <c r="AO1707" s="4"/>
      <c r="AP1707" s="4"/>
      <c r="AQ1707" s="4"/>
      <c r="AR1707" s="4"/>
      <c r="AS1707" s="4"/>
      <c r="AT1707" s="4"/>
      <c r="AU1707" s="4"/>
      <c r="AV1707" s="4"/>
      <c r="AW1707" s="4"/>
      <c r="AX1707" s="4"/>
      <c r="AY1707" s="4"/>
      <c r="AZ1707" s="4"/>
      <c r="BA1707" s="4"/>
      <c r="BB1707" s="4"/>
      <c r="BC1707" s="4"/>
      <c r="BD1707" s="4"/>
      <c r="BE1707" s="4"/>
      <c r="BF1707" s="4"/>
      <c r="BG1707" s="4"/>
      <c r="BH1707" s="4"/>
      <c r="BI1707" s="4"/>
      <c r="BJ1707" s="4"/>
      <c r="BK1707" s="4"/>
      <c r="BL1707" s="4"/>
      <c r="BM1707" s="4"/>
      <c r="BN1707" s="4"/>
      <c r="BO1707" s="4"/>
      <c r="BP1707" s="4"/>
      <c r="BQ1707" s="4"/>
      <c r="BR1707" s="4"/>
      <c r="BS1707" s="4"/>
      <c r="BT1707" s="4"/>
      <c r="BU1707" s="4"/>
      <c r="BV1707" s="4"/>
      <c r="BW1707" s="4"/>
      <c r="BX1707" s="4"/>
      <c r="BY1707" s="4"/>
      <c r="BZ1707" s="4"/>
      <c r="CA1707" s="4"/>
      <c r="CB1707" s="4"/>
      <c r="CC1707" s="4"/>
      <c r="CD1707" s="4"/>
      <c r="CE1707" s="4"/>
      <c r="CF1707" s="4"/>
      <c r="CG1707" s="4"/>
      <c r="CH1707" s="4"/>
      <c r="CI1707" s="4"/>
      <c r="CJ1707" s="4"/>
      <c r="CK1707" s="4"/>
      <c r="CL1707" s="4"/>
      <c r="CM1707" s="4"/>
      <c r="CN1707" s="4"/>
      <c r="CO1707" s="4"/>
      <c r="CP1707" s="4"/>
      <c r="CQ1707" s="4"/>
      <c r="CR1707" s="4"/>
      <c r="CS1707" s="4"/>
      <c r="CT1707" s="4"/>
      <c r="CU1707" s="4"/>
      <c r="CV1707" s="4"/>
      <c r="CW1707" s="4"/>
      <c r="CX1707" s="4"/>
      <c r="CY1707" s="4"/>
      <c r="CZ1707" s="4"/>
      <c r="DA1707" s="4"/>
      <c r="DB1707" s="4"/>
      <c r="DC1707" s="4"/>
      <c r="DD1707" s="4"/>
      <c r="DE1707" s="4"/>
      <c r="DF1707" s="4"/>
      <c r="DG1707" s="4"/>
      <c r="DH1707" s="4"/>
      <c r="DI1707" s="4"/>
      <c r="DJ1707" s="4"/>
      <c r="DK1707" s="4"/>
      <c r="DL1707" s="4"/>
      <c r="DM1707" s="4"/>
      <c r="DN1707" s="4"/>
      <c r="DO1707" s="4"/>
      <c r="DP1707" s="4"/>
      <c r="DQ1707" s="4"/>
      <c r="DR1707" s="4"/>
    </row>
    <row r="1708" spans="1:122" x14ac:dyDescent="0.25">
      <c r="A1708" s="2" t="s">
        <v>15</v>
      </c>
      <c r="B1708" s="2" t="str">
        <f>"FES1162769594"</f>
        <v>FES1162769594</v>
      </c>
      <c r="C1708" s="2" t="s">
        <v>1190</v>
      </c>
      <c r="D1708" s="2">
        <v>1</v>
      </c>
      <c r="E1708" s="2" t="str">
        <f>"2170756650"</f>
        <v>2170756650</v>
      </c>
      <c r="F1708" s="2" t="s">
        <v>17</v>
      </c>
      <c r="G1708" s="2" t="s">
        <v>18</v>
      </c>
      <c r="H1708" s="2" t="s">
        <v>78</v>
      </c>
      <c r="I1708" s="2" t="s">
        <v>79</v>
      </c>
      <c r="J1708" s="2" t="s">
        <v>446</v>
      </c>
      <c r="K1708" s="2" t="s">
        <v>1266</v>
      </c>
      <c r="L1708" s="3">
        <v>0.6791666666666667</v>
      </c>
      <c r="M1708" s="2" t="s">
        <v>1330</v>
      </c>
      <c r="N1708" s="2" t="s">
        <v>500</v>
      </c>
      <c r="O1708" s="2"/>
      <c r="P1708" s="4"/>
      <c r="Q1708" s="4"/>
      <c r="R1708" s="4"/>
      <c r="S1708" s="4"/>
      <c r="T1708" s="4"/>
      <c r="U1708" s="4"/>
      <c r="V1708" s="4"/>
      <c r="W1708" s="4"/>
      <c r="X1708" s="4"/>
      <c r="Y1708" s="4"/>
      <c r="Z1708" s="4"/>
      <c r="AA1708" s="4"/>
      <c r="AB1708" s="4"/>
      <c r="AC1708" s="4"/>
      <c r="AD1708" s="4"/>
      <c r="AE1708" s="4"/>
      <c r="AF1708" s="4"/>
      <c r="AG1708" s="4"/>
      <c r="AH1708" s="4"/>
      <c r="AI1708" s="4"/>
      <c r="AJ1708" s="4"/>
      <c r="AK1708" s="4"/>
      <c r="AL1708" s="4"/>
      <c r="AM1708" s="4"/>
      <c r="AN1708" s="4"/>
      <c r="AO1708" s="4"/>
      <c r="AP1708" s="4"/>
      <c r="AQ1708" s="4"/>
      <c r="AR1708" s="4"/>
      <c r="AS1708" s="4"/>
      <c r="AT1708" s="4"/>
      <c r="AU1708" s="4"/>
      <c r="AV1708" s="4"/>
      <c r="AW1708" s="4"/>
      <c r="AX1708" s="4"/>
      <c r="AY1708" s="4"/>
      <c r="AZ1708" s="4"/>
      <c r="BA1708" s="4"/>
      <c r="BB1708" s="4"/>
      <c r="BC1708" s="4"/>
      <c r="BD1708" s="4"/>
      <c r="BE1708" s="4"/>
      <c r="BF1708" s="4"/>
      <c r="BG1708" s="4"/>
      <c r="BH1708" s="4"/>
      <c r="BI1708" s="4"/>
      <c r="BJ1708" s="4"/>
      <c r="BK1708" s="4"/>
      <c r="BL1708" s="4"/>
      <c r="BM1708" s="4"/>
      <c r="BN1708" s="4"/>
      <c r="BO1708" s="4"/>
      <c r="BP1708" s="4"/>
      <c r="BQ1708" s="4"/>
      <c r="BR1708" s="4"/>
      <c r="BS1708" s="4"/>
      <c r="BT1708" s="4"/>
      <c r="BU1708" s="4"/>
      <c r="BV1708" s="4"/>
      <c r="BW1708" s="4"/>
      <c r="BX1708" s="4"/>
      <c r="BY1708" s="4"/>
      <c r="BZ1708" s="4"/>
      <c r="CA1708" s="4"/>
      <c r="CB1708" s="4"/>
      <c r="CC1708" s="4"/>
      <c r="CD1708" s="4"/>
      <c r="CE1708" s="4"/>
      <c r="CF1708" s="4"/>
      <c r="CG1708" s="4"/>
      <c r="CH1708" s="4"/>
      <c r="CI1708" s="4"/>
      <c r="CJ1708" s="4"/>
      <c r="CK1708" s="4"/>
      <c r="CL1708" s="4"/>
      <c r="CM1708" s="4"/>
      <c r="CN1708" s="4"/>
      <c r="CO1708" s="4"/>
      <c r="CP1708" s="4"/>
      <c r="CQ1708" s="4"/>
      <c r="CR1708" s="4"/>
      <c r="CS1708" s="4"/>
      <c r="CT1708" s="4"/>
      <c r="CU1708" s="4"/>
      <c r="CV1708" s="4"/>
      <c r="CW1708" s="4"/>
      <c r="CX1708" s="4"/>
      <c r="CY1708" s="4"/>
      <c r="CZ1708" s="4"/>
      <c r="DA1708" s="4"/>
      <c r="DB1708" s="4"/>
      <c r="DC1708" s="4"/>
      <c r="DD1708" s="4"/>
      <c r="DE1708" s="4"/>
      <c r="DF1708" s="4"/>
      <c r="DG1708" s="4"/>
      <c r="DH1708" s="4"/>
      <c r="DI1708" s="4"/>
      <c r="DJ1708" s="4"/>
      <c r="DK1708" s="4"/>
      <c r="DL1708" s="4"/>
      <c r="DM1708" s="4"/>
      <c r="DN1708" s="4"/>
      <c r="DO1708" s="4"/>
      <c r="DP1708" s="4"/>
      <c r="DQ1708" s="4"/>
      <c r="DR1708" s="4"/>
    </row>
    <row r="1709" spans="1:122" x14ac:dyDescent="0.25">
      <c r="A1709" s="2" t="s">
        <v>15</v>
      </c>
      <c r="B1709" s="2" t="str">
        <f>"FES1162769648"</f>
        <v>FES1162769648</v>
      </c>
      <c r="C1709" s="2" t="s">
        <v>1190</v>
      </c>
      <c r="D1709" s="2">
        <v>1</v>
      </c>
      <c r="E1709" s="2" t="str">
        <f>"2170756737"</f>
        <v>2170756737</v>
      </c>
      <c r="F1709" s="2" t="s">
        <v>17</v>
      </c>
      <c r="G1709" s="2" t="s">
        <v>18</v>
      </c>
      <c r="H1709" s="2" t="s">
        <v>25</v>
      </c>
      <c r="I1709" s="2" t="s">
        <v>125</v>
      </c>
      <c r="J1709" s="2" t="s">
        <v>126</v>
      </c>
      <c r="K1709" s="2" t="s">
        <v>1266</v>
      </c>
      <c r="L1709" s="3">
        <v>0.43194444444444446</v>
      </c>
      <c r="M1709" s="2" t="s">
        <v>1189</v>
      </c>
      <c r="N1709" s="2" t="s">
        <v>500</v>
      </c>
      <c r="O1709" s="2"/>
      <c r="P1709" s="4"/>
      <c r="Q1709" s="4"/>
      <c r="R1709" s="4"/>
      <c r="S1709" s="4"/>
      <c r="T1709" s="4"/>
      <c r="U1709" s="4"/>
      <c r="V1709" s="4"/>
      <c r="W1709" s="4"/>
      <c r="X1709" s="4"/>
      <c r="Y1709" s="4"/>
      <c r="Z1709" s="4"/>
      <c r="AA1709" s="4"/>
      <c r="AB1709" s="4"/>
      <c r="AC1709" s="4"/>
      <c r="AD1709" s="4"/>
      <c r="AE1709" s="4"/>
      <c r="AF1709" s="4"/>
      <c r="AG1709" s="4"/>
      <c r="AH1709" s="4"/>
      <c r="AI1709" s="4"/>
      <c r="AJ1709" s="4"/>
      <c r="AK1709" s="4"/>
      <c r="AL1709" s="4"/>
      <c r="AM1709" s="4"/>
      <c r="AN1709" s="4"/>
      <c r="AO1709" s="4"/>
      <c r="AP1709" s="4"/>
      <c r="AQ1709" s="4"/>
      <c r="AR1709" s="4"/>
      <c r="AS1709" s="4"/>
      <c r="AT1709" s="4"/>
      <c r="AU1709" s="4"/>
      <c r="AV1709" s="4"/>
      <c r="AW1709" s="4"/>
      <c r="AX1709" s="4"/>
      <c r="AY1709" s="4"/>
      <c r="AZ1709" s="4"/>
      <c r="BA1709" s="4"/>
      <c r="BB1709" s="4"/>
      <c r="BC1709" s="4"/>
      <c r="BD1709" s="4"/>
      <c r="BE1709" s="4"/>
      <c r="BF1709" s="4"/>
      <c r="BG1709" s="4"/>
      <c r="BH1709" s="4"/>
      <c r="BI1709" s="4"/>
      <c r="BJ1709" s="4"/>
      <c r="BK1709" s="4"/>
      <c r="BL1709" s="4"/>
      <c r="BM1709" s="4"/>
      <c r="BN1709" s="4"/>
      <c r="BO1709" s="4"/>
      <c r="BP1709" s="4"/>
      <c r="BQ1709" s="4"/>
      <c r="BR1709" s="4"/>
      <c r="BS1709" s="4"/>
      <c r="BT1709" s="4"/>
      <c r="BU1709" s="4"/>
      <c r="BV1709" s="4"/>
      <c r="BW1709" s="4"/>
      <c r="BX1709" s="4"/>
      <c r="BY1709" s="4"/>
      <c r="BZ1709" s="4"/>
      <c r="CA1709" s="4"/>
      <c r="CB1709" s="4"/>
      <c r="CC1709" s="4"/>
      <c r="CD1709" s="4"/>
      <c r="CE1709" s="4"/>
      <c r="CF1709" s="4"/>
      <c r="CG1709" s="4"/>
      <c r="CH1709" s="4"/>
      <c r="CI1709" s="4"/>
      <c r="CJ1709" s="4"/>
      <c r="CK1709" s="4"/>
      <c r="CL1709" s="4"/>
      <c r="CM1709" s="4"/>
      <c r="CN1709" s="4"/>
      <c r="CO1709" s="4"/>
      <c r="CP1709" s="4"/>
      <c r="CQ1709" s="4"/>
      <c r="CR1709" s="4"/>
      <c r="CS1709" s="4"/>
      <c r="CT1709" s="4"/>
      <c r="CU1709" s="4"/>
      <c r="CV1709" s="4"/>
      <c r="CW1709" s="4"/>
      <c r="CX1709" s="4"/>
      <c r="CY1709" s="4"/>
      <c r="CZ1709" s="4"/>
      <c r="DA1709" s="4"/>
      <c r="DB1709" s="4"/>
      <c r="DC1709" s="4"/>
      <c r="DD1709" s="4"/>
      <c r="DE1709" s="4"/>
      <c r="DF1709" s="4"/>
      <c r="DG1709" s="4"/>
      <c r="DH1709" s="4"/>
      <c r="DI1709" s="4"/>
      <c r="DJ1709" s="4"/>
      <c r="DK1709" s="4"/>
      <c r="DL1709" s="4"/>
      <c r="DM1709" s="4"/>
      <c r="DN1709" s="4"/>
      <c r="DO1709" s="4"/>
      <c r="DP1709" s="4"/>
      <c r="DQ1709" s="4"/>
      <c r="DR1709" s="4"/>
    </row>
    <row r="1710" spans="1:122" x14ac:dyDescent="0.25">
      <c r="A1710" s="2" t="s">
        <v>15</v>
      </c>
      <c r="B1710" s="2" t="str">
        <f>"FES1162769613"</f>
        <v>FES1162769613</v>
      </c>
      <c r="C1710" s="2" t="s">
        <v>1190</v>
      </c>
      <c r="D1710" s="2">
        <v>1</v>
      </c>
      <c r="E1710" s="2" t="str">
        <f>"2170756679"</f>
        <v>2170756679</v>
      </c>
      <c r="F1710" s="2" t="s">
        <v>17</v>
      </c>
      <c r="G1710" s="2" t="s">
        <v>18</v>
      </c>
      <c r="H1710" s="2" t="s">
        <v>36</v>
      </c>
      <c r="I1710" s="2" t="s">
        <v>37</v>
      </c>
      <c r="J1710" s="2" t="s">
        <v>476</v>
      </c>
      <c r="K1710" s="2" t="s">
        <v>1266</v>
      </c>
      <c r="L1710" s="3">
        <v>0.4236111111111111</v>
      </c>
      <c r="M1710" s="2" t="s">
        <v>1380</v>
      </c>
      <c r="N1710" s="2" t="s">
        <v>500</v>
      </c>
      <c r="O1710" s="2"/>
      <c r="P1710" s="4"/>
      <c r="Q1710" s="4"/>
      <c r="R1710" s="4"/>
      <c r="S1710" s="4"/>
      <c r="T1710" s="4"/>
      <c r="U1710" s="4"/>
      <c r="V1710" s="4"/>
      <c r="W1710" s="4"/>
      <c r="X1710" s="4"/>
      <c r="Y1710" s="4"/>
      <c r="Z1710" s="4"/>
      <c r="AA1710" s="4"/>
      <c r="AB1710" s="4"/>
      <c r="AC1710" s="4"/>
      <c r="AD1710" s="4"/>
      <c r="AE1710" s="4"/>
      <c r="AF1710" s="4"/>
      <c r="AG1710" s="4"/>
      <c r="AH1710" s="4"/>
      <c r="AI1710" s="4"/>
      <c r="AJ1710" s="4"/>
      <c r="AK1710" s="4"/>
      <c r="AL1710" s="4"/>
      <c r="AM1710" s="4"/>
      <c r="AN1710" s="4"/>
      <c r="AO1710" s="4"/>
      <c r="AP1710" s="4"/>
      <c r="AQ1710" s="4"/>
      <c r="AR1710" s="4"/>
      <c r="AS1710" s="4"/>
      <c r="AT1710" s="4"/>
      <c r="AU1710" s="4"/>
      <c r="AV1710" s="4"/>
      <c r="AW1710" s="4"/>
      <c r="AX1710" s="4"/>
      <c r="AY1710" s="4"/>
      <c r="AZ1710" s="4"/>
      <c r="BA1710" s="4"/>
      <c r="BB1710" s="4"/>
      <c r="BC1710" s="4"/>
      <c r="BD1710" s="4"/>
      <c r="BE1710" s="4"/>
      <c r="BF1710" s="4"/>
      <c r="BG1710" s="4"/>
      <c r="BH1710" s="4"/>
      <c r="BI1710" s="4"/>
      <c r="BJ1710" s="4"/>
      <c r="BK1710" s="4"/>
      <c r="BL1710" s="4"/>
      <c r="BM1710" s="4"/>
      <c r="BN1710" s="4"/>
      <c r="BO1710" s="4"/>
      <c r="BP1710" s="4"/>
      <c r="BQ1710" s="4"/>
      <c r="BR1710" s="4"/>
      <c r="BS1710" s="4"/>
      <c r="BT1710" s="4"/>
      <c r="BU1710" s="4"/>
      <c r="BV1710" s="4"/>
      <c r="BW1710" s="4"/>
      <c r="BX1710" s="4"/>
      <c r="BY1710" s="4"/>
      <c r="BZ1710" s="4"/>
      <c r="CA1710" s="4"/>
      <c r="CB1710" s="4"/>
      <c r="CC1710" s="4"/>
      <c r="CD1710" s="4"/>
      <c r="CE1710" s="4"/>
      <c r="CF1710" s="4"/>
      <c r="CG1710" s="4"/>
      <c r="CH1710" s="4"/>
      <c r="CI1710" s="4"/>
      <c r="CJ1710" s="4"/>
      <c r="CK1710" s="4"/>
      <c r="CL1710" s="4"/>
      <c r="CM1710" s="4"/>
      <c r="CN1710" s="4"/>
      <c r="CO1710" s="4"/>
      <c r="CP1710" s="4"/>
      <c r="CQ1710" s="4"/>
      <c r="CR1710" s="4"/>
      <c r="CS1710" s="4"/>
      <c r="CT1710" s="4"/>
      <c r="CU1710" s="4"/>
      <c r="CV1710" s="4"/>
      <c r="CW1710" s="4"/>
      <c r="CX1710" s="4"/>
      <c r="CY1710" s="4"/>
      <c r="CZ1710" s="4"/>
      <c r="DA1710" s="4"/>
      <c r="DB1710" s="4"/>
      <c r="DC1710" s="4"/>
      <c r="DD1710" s="4"/>
      <c r="DE1710" s="4"/>
      <c r="DF1710" s="4"/>
      <c r="DG1710" s="4"/>
      <c r="DH1710" s="4"/>
      <c r="DI1710" s="4"/>
      <c r="DJ1710" s="4"/>
      <c r="DK1710" s="4"/>
      <c r="DL1710" s="4"/>
      <c r="DM1710" s="4"/>
      <c r="DN1710" s="4"/>
      <c r="DO1710" s="4"/>
      <c r="DP1710" s="4"/>
      <c r="DQ1710" s="4"/>
      <c r="DR1710" s="4"/>
    </row>
    <row r="1711" spans="1:122" x14ac:dyDescent="0.25">
      <c r="A1711" s="2" t="s">
        <v>15</v>
      </c>
      <c r="B1711" s="2" t="str">
        <f>"FES1162769700"</f>
        <v>FES1162769700</v>
      </c>
      <c r="C1711" s="2" t="s">
        <v>1190</v>
      </c>
      <c r="D1711" s="2">
        <v>1</v>
      </c>
      <c r="E1711" s="2" t="str">
        <f>"2170756837"</f>
        <v>2170756837</v>
      </c>
      <c r="F1711" s="2" t="s">
        <v>17</v>
      </c>
      <c r="G1711" s="2" t="s">
        <v>18</v>
      </c>
      <c r="H1711" s="2" t="s">
        <v>18</v>
      </c>
      <c r="I1711" s="2" t="s">
        <v>46</v>
      </c>
      <c r="J1711" s="2" t="s">
        <v>59</v>
      </c>
      <c r="K1711" s="2" t="s">
        <v>1266</v>
      </c>
      <c r="L1711" s="3">
        <v>0.4375</v>
      </c>
      <c r="M1711" s="2" t="s">
        <v>60</v>
      </c>
      <c r="N1711" s="2" t="s">
        <v>500</v>
      </c>
      <c r="O1711" s="2"/>
      <c r="P1711" s="4"/>
      <c r="Q1711" s="4"/>
      <c r="R1711" s="4"/>
      <c r="S1711" s="4"/>
      <c r="T1711" s="4"/>
      <c r="U1711" s="4"/>
      <c r="V1711" s="4"/>
      <c r="W1711" s="4"/>
      <c r="X1711" s="4"/>
      <c r="Y1711" s="4"/>
      <c r="Z1711" s="4"/>
      <c r="AA1711" s="4"/>
      <c r="AB1711" s="4"/>
      <c r="AC1711" s="4"/>
      <c r="AD1711" s="4"/>
      <c r="AE1711" s="4"/>
      <c r="AF1711" s="4"/>
      <c r="AG1711" s="4"/>
      <c r="AH1711" s="4"/>
      <c r="AI1711" s="4"/>
      <c r="AJ1711" s="4"/>
      <c r="AK1711" s="4"/>
      <c r="AL1711" s="4"/>
      <c r="AM1711" s="4"/>
      <c r="AN1711" s="4"/>
      <c r="AO1711" s="4"/>
      <c r="AP1711" s="4"/>
      <c r="AQ1711" s="4"/>
      <c r="AR1711" s="4"/>
      <c r="AS1711" s="4"/>
      <c r="AT1711" s="4"/>
      <c r="AU1711" s="4"/>
      <c r="AV1711" s="4"/>
      <c r="AW1711" s="4"/>
      <c r="AX1711" s="4"/>
      <c r="AY1711" s="4"/>
      <c r="AZ1711" s="4"/>
      <c r="BA1711" s="4"/>
      <c r="BB1711" s="4"/>
      <c r="BC1711" s="4"/>
      <c r="BD1711" s="4"/>
      <c r="BE1711" s="4"/>
      <c r="BF1711" s="4"/>
      <c r="BG1711" s="4"/>
      <c r="BH1711" s="4"/>
      <c r="BI1711" s="4"/>
      <c r="BJ1711" s="4"/>
      <c r="BK1711" s="4"/>
      <c r="BL1711" s="4"/>
      <c r="BM1711" s="4"/>
      <c r="BN1711" s="4"/>
      <c r="BO1711" s="4"/>
      <c r="BP1711" s="4"/>
      <c r="BQ1711" s="4"/>
      <c r="BR1711" s="4"/>
      <c r="BS1711" s="4"/>
      <c r="BT1711" s="4"/>
      <c r="BU1711" s="4"/>
      <c r="BV1711" s="4"/>
      <c r="BW1711" s="4"/>
      <c r="BX1711" s="4"/>
      <c r="BY1711" s="4"/>
      <c r="BZ1711" s="4"/>
      <c r="CA1711" s="4"/>
      <c r="CB1711" s="4"/>
      <c r="CC1711" s="4"/>
      <c r="CD1711" s="4"/>
      <c r="CE1711" s="4"/>
      <c r="CF1711" s="4"/>
      <c r="CG1711" s="4"/>
      <c r="CH1711" s="4"/>
      <c r="CI1711" s="4"/>
      <c r="CJ1711" s="4"/>
      <c r="CK1711" s="4"/>
      <c r="CL1711" s="4"/>
      <c r="CM1711" s="4"/>
      <c r="CN1711" s="4"/>
      <c r="CO1711" s="4"/>
      <c r="CP1711" s="4"/>
      <c r="CQ1711" s="4"/>
      <c r="CR1711" s="4"/>
      <c r="CS1711" s="4"/>
      <c r="CT1711" s="4"/>
      <c r="CU1711" s="4"/>
      <c r="CV1711" s="4"/>
      <c r="CW1711" s="4"/>
      <c r="CX1711" s="4"/>
      <c r="CY1711" s="4"/>
      <c r="CZ1711" s="4"/>
      <c r="DA1711" s="4"/>
      <c r="DB1711" s="4"/>
      <c r="DC1711" s="4"/>
      <c r="DD1711" s="4"/>
      <c r="DE1711" s="4"/>
      <c r="DF1711" s="4"/>
      <c r="DG1711" s="4"/>
      <c r="DH1711" s="4"/>
      <c r="DI1711" s="4"/>
      <c r="DJ1711" s="4"/>
      <c r="DK1711" s="4"/>
      <c r="DL1711" s="4"/>
      <c r="DM1711" s="4"/>
      <c r="DN1711" s="4"/>
      <c r="DO1711" s="4"/>
      <c r="DP1711" s="4"/>
      <c r="DQ1711" s="4"/>
      <c r="DR1711" s="4"/>
    </row>
    <row r="1712" spans="1:122" x14ac:dyDescent="0.25">
      <c r="A1712" s="2" t="s">
        <v>15</v>
      </c>
      <c r="B1712" s="2" t="str">
        <f>"FES1162769740"</f>
        <v>FES1162769740</v>
      </c>
      <c r="C1712" s="2" t="s">
        <v>1190</v>
      </c>
      <c r="D1712" s="2">
        <v>1</v>
      </c>
      <c r="E1712" s="2" t="str">
        <f>"2170756920"</f>
        <v>2170756920</v>
      </c>
      <c r="F1712" s="2" t="s">
        <v>17</v>
      </c>
      <c r="G1712" s="2" t="s">
        <v>18</v>
      </c>
      <c r="H1712" s="2" t="s">
        <v>18</v>
      </c>
      <c r="I1712" s="2" t="s">
        <v>50</v>
      </c>
      <c r="J1712" s="2" t="s">
        <v>51</v>
      </c>
      <c r="K1712" s="2" t="s">
        <v>1266</v>
      </c>
      <c r="L1712" s="3">
        <v>0.37916666666666665</v>
      </c>
      <c r="M1712" s="2" t="s">
        <v>184</v>
      </c>
      <c r="N1712" s="2" t="s">
        <v>500</v>
      </c>
      <c r="O1712" s="2"/>
      <c r="P1712" s="4"/>
      <c r="Q1712" s="4"/>
      <c r="R1712" s="4"/>
      <c r="S1712" s="4"/>
      <c r="T1712" s="4"/>
      <c r="U1712" s="4"/>
      <c r="V1712" s="4"/>
      <c r="W1712" s="4"/>
      <c r="X1712" s="4"/>
      <c r="Y1712" s="4"/>
      <c r="Z1712" s="4"/>
      <c r="AA1712" s="4"/>
      <c r="AB1712" s="4"/>
      <c r="AC1712" s="4"/>
      <c r="AD1712" s="4"/>
      <c r="AE1712" s="4"/>
      <c r="AF1712" s="4"/>
      <c r="AG1712" s="4"/>
      <c r="AH1712" s="4"/>
      <c r="AI1712" s="4"/>
      <c r="AJ1712" s="4"/>
      <c r="AK1712" s="4"/>
      <c r="AL1712" s="4"/>
      <c r="AM1712" s="4"/>
      <c r="AN1712" s="4"/>
      <c r="AO1712" s="4"/>
      <c r="AP1712" s="4"/>
      <c r="AQ1712" s="4"/>
      <c r="AR1712" s="4"/>
      <c r="AS1712" s="4"/>
      <c r="AT1712" s="4"/>
      <c r="AU1712" s="4"/>
      <c r="AV1712" s="4"/>
      <c r="AW1712" s="4"/>
      <c r="AX1712" s="4"/>
      <c r="AY1712" s="4"/>
      <c r="AZ1712" s="4"/>
      <c r="BA1712" s="4"/>
      <c r="BB1712" s="4"/>
      <c r="BC1712" s="4"/>
      <c r="BD1712" s="4"/>
      <c r="BE1712" s="4"/>
      <c r="BF1712" s="4"/>
      <c r="BG1712" s="4"/>
      <c r="BH1712" s="4"/>
      <c r="BI1712" s="4"/>
      <c r="BJ1712" s="4"/>
      <c r="BK1712" s="4"/>
      <c r="BL1712" s="4"/>
      <c r="BM1712" s="4"/>
      <c r="BN1712" s="4"/>
      <c r="BO1712" s="4"/>
      <c r="BP1712" s="4"/>
      <c r="BQ1712" s="4"/>
      <c r="BR1712" s="4"/>
      <c r="BS1712" s="4"/>
      <c r="BT1712" s="4"/>
      <c r="BU1712" s="4"/>
      <c r="BV1712" s="4"/>
      <c r="BW1712" s="4"/>
      <c r="BX1712" s="4"/>
      <c r="BY1712" s="4"/>
      <c r="BZ1712" s="4"/>
      <c r="CA1712" s="4"/>
      <c r="CB1712" s="4"/>
      <c r="CC1712" s="4"/>
      <c r="CD1712" s="4"/>
      <c r="CE1712" s="4"/>
      <c r="CF1712" s="4"/>
      <c r="CG1712" s="4"/>
      <c r="CH1712" s="4"/>
      <c r="CI1712" s="4"/>
      <c r="CJ1712" s="4"/>
      <c r="CK1712" s="4"/>
      <c r="CL1712" s="4"/>
      <c r="CM1712" s="4"/>
      <c r="CN1712" s="4"/>
      <c r="CO1712" s="4"/>
      <c r="CP1712" s="4"/>
      <c r="CQ1712" s="4"/>
      <c r="CR1712" s="4"/>
      <c r="CS1712" s="4"/>
      <c r="CT1712" s="4"/>
      <c r="CU1712" s="4"/>
      <c r="CV1712" s="4"/>
      <c r="CW1712" s="4"/>
      <c r="CX1712" s="4"/>
      <c r="CY1712" s="4"/>
      <c r="CZ1712" s="4"/>
      <c r="DA1712" s="4"/>
      <c r="DB1712" s="4"/>
      <c r="DC1712" s="4"/>
      <c r="DD1712" s="4"/>
      <c r="DE1712" s="4"/>
      <c r="DF1712" s="4"/>
      <c r="DG1712" s="4"/>
      <c r="DH1712" s="4"/>
      <c r="DI1712" s="4"/>
      <c r="DJ1712" s="4"/>
      <c r="DK1712" s="4"/>
      <c r="DL1712" s="4"/>
      <c r="DM1712" s="4"/>
      <c r="DN1712" s="4"/>
      <c r="DO1712" s="4"/>
      <c r="DP1712" s="4"/>
      <c r="DQ1712" s="4"/>
      <c r="DR1712" s="4"/>
    </row>
    <row r="1713" spans="1:122" x14ac:dyDescent="0.25">
      <c r="A1713" s="2" t="s">
        <v>15</v>
      </c>
      <c r="B1713" s="2" t="str">
        <f>"FES1162769602"</f>
        <v>FES1162769602</v>
      </c>
      <c r="C1713" s="2" t="s">
        <v>1190</v>
      </c>
      <c r="D1713" s="2">
        <v>1</v>
      </c>
      <c r="E1713" s="2" t="str">
        <f>"2170756662"</f>
        <v>2170756662</v>
      </c>
      <c r="F1713" s="2" t="s">
        <v>17</v>
      </c>
      <c r="G1713" s="2" t="s">
        <v>18</v>
      </c>
      <c r="H1713" s="2" t="s">
        <v>25</v>
      </c>
      <c r="I1713" s="2" t="s">
        <v>26</v>
      </c>
      <c r="J1713" s="2" t="s">
        <v>1314</v>
      </c>
      <c r="K1713" s="2" t="s">
        <v>1266</v>
      </c>
      <c r="L1713" s="3">
        <v>0.35902777777777778</v>
      </c>
      <c r="M1713" s="2" t="s">
        <v>983</v>
      </c>
      <c r="N1713" s="2" t="s">
        <v>500</v>
      </c>
      <c r="O1713" s="2"/>
      <c r="P1713" s="4"/>
      <c r="Q1713" s="4"/>
      <c r="R1713" s="4"/>
      <c r="S1713" s="4"/>
      <c r="T1713" s="4"/>
      <c r="U1713" s="4"/>
      <c r="V1713" s="4"/>
      <c r="W1713" s="4"/>
      <c r="X1713" s="4"/>
      <c r="Y1713" s="4"/>
      <c r="Z1713" s="4"/>
      <c r="AA1713" s="4"/>
      <c r="AB1713" s="4"/>
      <c r="AC1713" s="4"/>
      <c r="AD1713" s="4"/>
      <c r="AE1713" s="4"/>
      <c r="AF1713" s="4"/>
      <c r="AG1713" s="4"/>
      <c r="AH1713" s="4"/>
      <c r="AI1713" s="4"/>
      <c r="AJ1713" s="4"/>
      <c r="AK1713" s="4"/>
      <c r="AL1713" s="4"/>
      <c r="AM1713" s="4"/>
      <c r="AN1713" s="4"/>
      <c r="AO1713" s="4"/>
      <c r="AP1713" s="4"/>
      <c r="AQ1713" s="4"/>
      <c r="AR1713" s="4"/>
      <c r="AS1713" s="4"/>
      <c r="AT1713" s="4"/>
      <c r="AU1713" s="4"/>
      <c r="AV1713" s="4"/>
      <c r="AW1713" s="4"/>
      <c r="AX1713" s="4"/>
      <c r="AY1713" s="4"/>
      <c r="AZ1713" s="4"/>
      <c r="BA1713" s="4"/>
      <c r="BB1713" s="4"/>
      <c r="BC1713" s="4"/>
      <c r="BD1713" s="4"/>
      <c r="BE1713" s="4"/>
      <c r="BF1713" s="4"/>
      <c r="BG1713" s="4"/>
      <c r="BH1713" s="4"/>
      <c r="BI1713" s="4"/>
      <c r="BJ1713" s="4"/>
      <c r="BK1713" s="4"/>
      <c r="BL1713" s="4"/>
      <c r="BM1713" s="4"/>
      <c r="BN1713" s="4"/>
      <c r="BO1713" s="4"/>
      <c r="BP1713" s="4"/>
      <c r="BQ1713" s="4"/>
      <c r="BR1713" s="4"/>
      <c r="BS1713" s="4"/>
      <c r="BT1713" s="4"/>
      <c r="BU1713" s="4"/>
      <c r="BV1713" s="4"/>
      <c r="BW1713" s="4"/>
      <c r="BX1713" s="4"/>
      <c r="BY1713" s="4"/>
      <c r="BZ1713" s="4"/>
      <c r="CA1713" s="4"/>
      <c r="CB1713" s="4"/>
      <c r="CC1713" s="4"/>
      <c r="CD1713" s="4"/>
      <c r="CE1713" s="4"/>
      <c r="CF1713" s="4"/>
      <c r="CG1713" s="4"/>
      <c r="CH1713" s="4"/>
      <c r="CI1713" s="4"/>
      <c r="CJ1713" s="4"/>
      <c r="CK1713" s="4"/>
      <c r="CL1713" s="4"/>
      <c r="CM1713" s="4"/>
      <c r="CN1713" s="4"/>
      <c r="CO1713" s="4"/>
      <c r="CP1713" s="4"/>
      <c r="CQ1713" s="4"/>
      <c r="CR1713" s="4"/>
      <c r="CS1713" s="4"/>
      <c r="CT1713" s="4"/>
      <c r="CU1713" s="4"/>
      <c r="CV1713" s="4"/>
      <c r="CW1713" s="4"/>
      <c r="CX1713" s="4"/>
      <c r="CY1713" s="4"/>
      <c r="CZ1713" s="4"/>
      <c r="DA1713" s="4"/>
      <c r="DB1713" s="4"/>
      <c r="DC1713" s="4"/>
      <c r="DD1713" s="4"/>
      <c r="DE1713" s="4"/>
      <c r="DF1713" s="4"/>
      <c r="DG1713" s="4"/>
      <c r="DH1713" s="4"/>
      <c r="DI1713" s="4"/>
      <c r="DJ1713" s="4"/>
      <c r="DK1713" s="4"/>
      <c r="DL1713" s="4"/>
      <c r="DM1713" s="4"/>
      <c r="DN1713" s="4"/>
      <c r="DO1713" s="4"/>
      <c r="DP1713" s="4"/>
      <c r="DQ1713" s="4"/>
      <c r="DR1713" s="4"/>
    </row>
    <row r="1714" spans="1:122" x14ac:dyDescent="0.25">
      <c r="A1714" s="2" t="s">
        <v>15</v>
      </c>
      <c r="B1714" s="2" t="str">
        <f>"FES1162769601"</f>
        <v>FES1162769601</v>
      </c>
      <c r="C1714" s="2" t="s">
        <v>1190</v>
      </c>
      <c r="D1714" s="2">
        <v>1</v>
      </c>
      <c r="E1714" s="2" t="str">
        <f>"2170756659"</f>
        <v>2170756659</v>
      </c>
      <c r="F1714" s="2" t="s">
        <v>17</v>
      </c>
      <c r="G1714" s="2" t="s">
        <v>18</v>
      </c>
      <c r="H1714" s="2" t="s">
        <v>36</v>
      </c>
      <c r="I1714" s="2" t="s">
        <v>37</v>
      </c>
      <c r="J1714" s="2" t="s">
        <v>403</v>
      </c>
      <c r="K1714" s="2" t="s">
        <v>1266</v>
      </c>
      <c r="L1714" s="3">
        <v>0.4368055555555555</v>
      </c>
      <c r="M1714" s="2" t="s">
        <v>1373</v>
      </c>
      <c r="N1714" s="2" t="s">
        <v>500</v>
      </c>
      <c r="O1714" s="2"/>
      <c r="P1714" s="4"/>
      <c r="Q1714" s="4"/>
      <c r="R1714" s="4"/>
      <c r="S1714" s="4"/>
      <c r="T1714" s="4"/>
      <c r="U1714" s="4"/>
      <c r="V1714" s="4"/>
      <c r="W1714" s="4"/>
      <c r="X1714" s="4"/>
      <c r="Y1714" s="4"/>
      <c r="Z1714" s="4"/>
      <c r="AA1714" s="4"/>
      <c r="AB1714" s="4"/>
      <c r="AC1714" s="4"/>
      <c r="AD1714" s="4"/>
      <c r="AE1714" s="4"/>
      <c r="AF1714" s="4"/>
      <c r="AG1714" s="4"/>
      <c r="AH1714" s="4"/>
      <c r="AI1714" s="4"/>
      <c r="AJ1714" s="4"/>
      <c r="AK1714" s="4"/>
      <c r="AL1714" s="4"/>
      <c r="AM1714" s="4"/>
      <c r="AN1714" s="4"/>
      <c r="AO1714" s="4"/>
      <c r="AP1714" s="4"/>
      <c r="AQ1714" s="4"/>
      <c r="AR1714" s="4"/>
      <c r="AS1714" s="4"/>
      <c r="AT1714" s="4"/>
      <c r="AU1714" s="4"/>
      <c r="AV1714" s="4"/>
      <c r="AW1714" s="4"/>
      <c r="AX1714" s="4"/>
      <c r="AY1714" s="4"/>
      <c r="AZ1714" s="4"/>
      <c r="BA1714" s="4"/>
      <c r="BB1714" s="4"/>
      <c r="BC1714" s="4"/>
      <c r="BD1714" s="4"/>
      <c r="BE1714" s="4"/>
      <c r="BF1714" s="4"/>
      <c r="BG1714" s="4"/>
      <c r="BH1714" s="4"/>
      <c r="BI1714" s="4"/>
      <c r="BJ1714" s="4"/>
      <c r="BK1714" s="4"/>
      <c r="BL1714" s="4"/>
      <c r="BM1714" s="4"/>
      <c r="BN1714" s="4"/>
      <c r="BO1714" s="4"/>
      <c r="BP1714" s="4"/>
      <c r="BQ1714" s="4"/>
      <c r="BR1714" s="4"/>
      <c r="BS1714" s="4"/>
      <c r="BT1714" s="4"/>
      <c r="BU1714" s="4"/>
      <c r="BV1714" s="4"/>
      <c r="BW1714" s="4"/>
      <c r="BX1714" s="4"/>
      <c r="BY1714" s="4"/>
      <c r="BZ1714" s="4"/>
      <c r="CA1714" s="4"/>
      <c r="CB1714" s="4"/>
      <c r="CC1714" s="4"/>
      <c r="CD1714" s="4"/>
      <c r="CE1714" s="4"/>
      <c r="CF1714" s="4"/>
      <c r="CG1714" s="4"/>
      <c r="CH1714" s="4"/>
      <c r="CI1714" s="4"/>
      <c r="CJ1714" s="4"/>
      <c r="CK1714" s="4"/>
      <c r="CL1714" s="4"/>
      <c r="CM1714" s="4"/>
      <c r="CN1714" s="4"/>
      <c r="CO1714" s="4"/>
      <c r="CP1714" s="4"/>
      <c r="CQ1714" s="4"/>
      <c r="CR1714" s="4"/>
      <c r="CS1714" s="4"/>
      <c r="CT1714" s="4"/>
      <c r="CU1714" s="4"/>
      <c r="CV1714" s="4"/>
      <c r="CW1714" s="4"/>
      <c r="CX1714" s="4"/>
      <c r="CY1714" s="4"/>
      <c r="CZ1714" s="4"/>
      <c r="DA1714" s="4"/>
      <c r="DB1714" s="4"/>
      <c r="DC1714" s="4"/>
      <c r="DD1714" s="4"/>
      <c r="DE1714" s="4"/>
      <c r="DF1714" s="4"/>
      <c r="DG1714" s="4"/>
      <c r="DH1714" s="4"/>
      <c r="DI1714" s="4"/>
      <c r="DJ1714" s="4"/>
      <c r="DK1714" s="4"/>
      <c r="DL1714" s="4"/>
      <c r="DM1714" s="4"/>
      <c r="DN1714" s="4"/>
      <c r="DO1714" s="4"/>
      <c r="DP1714" s="4"/>
      <c r="DQ1714" s="4"/>
      <c r="DR1714" s="4"/>
    </row>
    <row r="1715" spans="1:122" x14ac:dyDescent="0.25">
      <c r="A1715" s="2" t="s">
        <v>15</v>
      </c>
      <c r="B1715" s="2" t="str">
        <f>"FES1162769973"</f>
        <v>FES1162769973</v>
      </c>
      <c r="C1715" s="2" t="s">
        <v>1190</v>
      </c>
      <c r="D1715" s="2">
        <v>1</v>
      </c>
      <c r="E1715" s="2" t="str">
        <f>"2170755673"</f>
        <v>2170755673</v>
      </c>
      <c r="F1715" s="2" t="s">
        <v>17</v>
      </c>
      <c r="G1715" s="2" t="s">
        <v>18</v>
      </c>
      <c r="H1715" s="2" t="s">
        <v>25</v>
      </c>
      <c r="I1715" s="2" t="s">
        <v>26</v>
      </c>
      <c r="J1715" s="2" t="s">
        <v>1315</v>
      </c>
      <c r="K1715" s="2" t="s">
        <v>1266</v>
      </c>
      <c r="L1715" s="3">
        <v>0.32708333333333334</v>
      </c>
      <c r="M1715" s="2" t="s">
        <v>1381</v>
      </c>
      <c r="N1715" s="2" t="s">
        <v>500</v>
      </c>
      <c r="O1715" s="2"/>
      <c r="P1715" s="4"/>
      <c r="Q1715" s="4"/>
      <c r="R1715" s="4"/>
      <c r="S1715" s="4"/>
      <c r="T1715" s="4"/>
      <c r="U1715" s="4"/>
      <c r="V1715" s="4"/>
      <c r="W1715" s="4"/>
      <c r="X1715" s="4"/>
      <c r="Y1715" s="4"/>
      <c r="Z1715" s="4"/>
      <c r="AA1715" s="4"/>
      <c r="AB1715" s="4"/>
      <c r="AC1715" s="4"/>
      <c r="AD1715" s="4"/>
      <c r="AE1715" s="4"/>
      <c r="AF1715" s="4"/>
      <c r="AG1715" s="4"/>
      <c r="AH1715" s="4"/>
      <c r="AI1715" s="4"/>
      <c r="AJ1715" s="4"/>
      <c r="AK1715" s="4"/>
      <c r="AL1715" s="4"/>
      <c r="AM1715" s="4"/>
      <c r="AN1715" s="4"/>
      <c r="AO1715" s="4"/>
      <c r="AP1715" s="4"/>
      <c r="AQ1715" s="4"/>
      <c r="AR1715" s="4"/>
      <c r="AS1715" s="4"/>
      <c r="AT1715" s="4"/>
      <c r="AU1715" s="4"/>
      <c r="AV1715" s="4"/>
      <c r="AW1715" s="4"/>
      <c r="AX1715" s="4"/>
      <c r="AY1715" s="4"/>
      <c r="AZ1715" s="4"/>
      <c r="BA1715" s="4"/>
      <c r="BB1715" s="4"/>
      <c r="BC1715" s="4"/>
      <c r="BD1715" s="4"/>
      <c r="BE1715" s="4"/>
      <c r="BF1715" s="4"/>
      <c r="BG1715" s="4"/>
      <c r="BH1715" s="4"/>
      <c r="BI1715" s="4"/>
      <c r="BJ1715" s="4"/>
      <c r="BK1715" s="4"/>
      <c r="BL1715" s="4"/>
      <c r="BM1715" s="4"/>
      <c r="BN1715" s="4"/>
      <c r="BO1715" s="4"/>
      <c r="BP1715" s="4"/>
      <c r="BQ1715" s="4"/>
      <c r="BR1715" s="4"/>
      <c r="BS1715" s="4"/>
      <c r="BT1715" s="4"/>
      <c r="BU1715" s="4"/>
      <c r="BV1715" s="4"/>
      <c r="BW1715" s="4"/>
      <c r="BX1715" s="4"/>
      <c r="BY1715" s="4"/>
      <c r="BZ1715" s="4"/>
      <c r="CA1715" s="4"/>
      <c r="CB1715" s="4"/>
      <c r="CC1715" s="4"/>
      <c r="CD1715" s="4"/>
      <c r="CE1715" s="4"/>
      <c r="CF1715" s="4"/>
      <c r="CG1715" s="4"/>
      <c r="CH1715" s="4"/>
      <c r="CI1715" s="4"/>
      <c r="CJ1715" s="4"/>
      <c r="CK1715" s="4"/>
      <c r="CL1715" s="4"/>
      <c r="CM1715" s="4"/>
      <c r="CN1715" s="4"/>
      <c r="CO1715" s="4"/>
      <c r="CP1715" s="4"/>
      <c r="CQ1715" s="4"/>
      <c r="CR1715" s="4"/>
      <c r="CS1715" s="4"/>
      <c r="CT1715" s="4"/>
      <c r="CU1715" s="4"/>
      <c r="CV1715" s="4"/>
      <c r="CW1715" s="4"/>
      <c r="CX1715" s="4"/>
      <c r="CY1715" s="4"/>
      <c r="CZ1715" s="4"/>
      <c r="DA1715" s="4"/>
      <c r="DB1715" s="4"/>
      <c r="DC1715" s="4"/>
      <c r="DD1715" s="4"/>
      <c r="DE1715" s="4"/>
      <c r="DF1715" s="4"/>
      <c r="DG1715" s="4"/>
      <c r="DH1715" s="4"/>
      <c r="DI1715" s="4"/>
      <c r="DJ1715" s="4"/>
      <c r="DK1715" s="4"/>
      <c r="DL1715" s="4"/>
      <c r="DM1715" s="4"/>
      <c r="DN1715" s="4"/>
      <c r="DO1715" s="4"/>
      <c r="DP1715" s="4"/>
      <c r="DQ1715" s="4"/>
      <c r="DR1715" s="4"/>
    </row>
    <row r="1716" spans="1:122" x14ac:dyDescent="0.25">
      <c r="A1716" s="2" t="s">
        <v>15</v>
      </c>
      <c r="B1716" s="2" t="str">
        <f>"FES1162769998"</f>
        <v>FES1162769998</v>
      </c>
      <c r="C1716" s="2" t="s">
        <v>1190</v>
      </c>
      <c r="D1716" s="2">
        <v>1</v>
      </c>
      <c r="E1716" s="2" t="str">
        <f>"2170757138"</f>
        <v>2170757138</v>
      </c>
      <c r="F1716" s="2" t="s">
        <v>17</v>
      </c>
      <c r="G1716" s="2" t="s">
        <v>18</v>
      </c>
      <c r="H1716" s="2" t="s">
        <v>25</v>
      </c>
      <c r="I1716" s="2" t="s">
        <v>42</v>
      </c>
      <c r="J1716" s="2" t="s">
        <v>416</v>
      </c>
      <c r="K1716" s="2" t="s">
        <v>1266</v>
      </c>
      <c r="L1716" s="3">
        <v>0.47847222222222219</v>
      </c>
      <c r="M1716" s="2" t="s">
        <v>688</v>
      </c>
      <c r="N1716" s="2" t="s">
        <v>500</v>
      </c>
      <c r="O1716" s="2"/>
      <c r="P1716" s="4"/>
      <c r="Q1716" s="4"/>
      <c r="R1716" s="4"/>
      <c r="S1716" s="4"/>
      <c r="T1716" s="4"/>
      <c r="U1716" s="4"/>
      <c r="V1716" s="4"/>
      <c r="W1716" s="4"/>
      <c r="X1716" s="4"/>
      <c r="Y1716" s="4"/>
      <c r="Z1716" s="4"/>
      <c r="AA1716" s="4"/>
      <c r="AB1716" s="4"/>
      <c r="AC1716" s="4"/>
      <c r="AD1716" s="4"/>
      <c r="AE1716" s="4"/>
      <c r="AF1716" s="4"/>
      <c r="AG1716" s="4"/>
      <c r="AH1716" s="4"/>
      <c r="AI1716" s="4"/>
      <c r="AJ1716" s="4"/>
      <c r="AK1716" s="4"/>
      <c r="AL1716" s="4"/>
      <c r="AM1716" s="4"/>
      <c r="AN1716" s="4"/>
      <c r="AO1716" s="4"/>
      <c r="AP1716" s="4"/>
      <c r="AQ1716" s="4"/>
      <c r="AR1716" s="4"/>
      <c r="AS1716" s="4"/>
      <c r="AT1716" s="4"/>
      <c r="AU1716" s="4"/>
      <c r="AV1716" s="4"/>
      <c r="AW1716" s="4"/>
      <c r="AX1716" s="4"/>
      <c r="AY1716" s="4"/>
      <c r="AZ1716" s="4"/>
      <c r="BA1716" s="4"/>
      <c r="BB1716" s="4"/>
      <c r="BC1716" s="4"/>
      <c r="BD1716" s="4"/>
      <c r="BE1716" s="4"/>
      <c r="BF1716" s="4"/>
      <c r="BG1716" s="4"/>
      <c r="BH1716" s="4"/>
      <c r="BI1716" s="4"/>
      <c r="BJ1716" s="4"/>
      <c r="BK1716" s="4"/>
      <c r="BL1716" s="4"/>
      <c r="BM1716" s="4"/>
      <c r="BN1716" s="4"/>
      <c r="BO1716" s="4"/>
      <c r="BP1716" s="4"/>
      <c r="BQ1716" s="4"/>
      <c r="BR1716" s="4"/>
      <c r="BS1716" s="4"/>
      <c r="BT1716" s="4"/>
      <c r="BU1716" s="4"/>
      <c r="BV1716" s="4"/>
      <c r="BW1716" s="4"/>
      <c r="BX1716" s="4"/>
      <c r="BY1716" s="4"/>
      <c r="BZ1716" s="4"/>
      <c r="CA1716" s="4"/>
      <c r="CB1716" s="4"/>
      <c r="CC1716" s="4"/>
      <c r="CD1716" s="4"/>
      <c r="CE1716" s="4"/>
      <c r="CF1716" s="4"/>
      <c r="CG1716" s="4"/>
      <c r="CH1716" s="4"/>
      <c r="CI1716" s="4"/>
      <c r="CJ1716" s="4"/>
      <c r="CK1716" s="4"/>
      <c r="CL1716" s="4"/>
      <c r="CM1716" s="4"/>
      <c r="CN1716" s="4"/>
      <c r="CO1716" s="4"/>
      <c r="CP1716" s="4"/>
      <c r="CQ1716" s="4"/>
      <c r="CR1716" s="4"/>
      <c r="CS1716" s="4"/>
      <c r="CT1716" s="4"/>
      <c r="CU1716" s="4"/>
      <c r="CV1716" s="4"/>
      <c r="CW1716" s="4"/>
      <c r="CX1716" s="4"/>
      <c r="CY1716" s="4"/>
      <c r="CZ1716" s="4"/>
      <c r="DA1716" s="4"/>
      <c r="DB1716" s="4"/>
      <c r="DC1716" s="4"/>
      <c r="DD1716" s="4"/>
      <c r="DE1716" s="4"/>
      <c r="DF1716" s="4"/>
      <c r="DG1716" s="4"/>
      <c r="DH1716" s="4"/>
      <c r="DI1716" s="4"/>
      <c r="DJ1716" s="4"/>
      <c r="DK1716" s="4"/>
      <c r="DL1716" s="4"/>
      <c r="DM1716" s="4"/>
      <c r="DN1716" s="4"/>
      <c r="DO1716" s="4"/>
      <c r="DP1716" s="4"/>
      <c r="DQ1716" s="4"/>
      <c r="DR1716" s="4"/>
    </row>
    <row r="1717" spans="1:122" x14ac:dyDescent="0.25">
      <c r="A1717" s="2" t="s">
        <v>15</v>
      </c>
      <c r="B1717" s="2" t="str">
        <f>"FES1162769578"</f>
        <v>FES1162769578</v>
      </c>
      <c r="C1717" s="2" t="s">
        <v>1190</v>
      </c>
      <c r="D1717" s="2">
        <v>1</v>
      </c>
      <c r="E1717" s="2" t="str">
        <f>"2170756614"</f>
        <v>2170756614</v>
      </c>
      <c r="F1717" s="2" t="s">
        <v>17</v>
      </c>
      <c r="G1717" s="2" t="s">
        <v>18</v>
      </c>
      <c r="H1717" s="2" t="s">
        <v>36</v>
      </c>
      <c r="I1717" s="2" t="s">
        <v>37</v>
      </c>
      <c r="J1717" s="2" t="s">
        <v>162</v>
      </c>
      <c r="K1717" s="2" t="s">
        <v>1266</v>
      </c>
      <c r="L1717" s="3">
        <v>0.34513888888888888</v>
      </c>
      <c r="M1717" s="2" t="s">
        <v>268</v>
      </c>
      <c r="N1717" s="2" t="s">
        <v>500</v>
      </c>
      <c r="O1717" s="2"/>
      <c r="P1717" s="4"/>
      <c r="Q1717" s="4"/>
      <c r="R1717" s="4"/>
      <c r="S1717" s="4"/>
      <c r="T1717" s="4"/>
      <c r="U1717" s="4"/>
      <c r="V1717" s="4"/>
      <c r="W1717" s="4"/>
      <c r="X1717" s="4"/>
      <c r="Y1717" s="4"/>
      <c r="Z1717" s="4"/>
      <c r="AA1717" s="4"/>
      <c r="AB1717" s="4"/>
      <c r="AC1717" s="4"/>
      <c r="AD1717" s="4"/>
      <c r="AE1717" s="4"/>
      <c r="AF1717" s="4"/>
      <c r="AG1717" s="4"/>
      <c r="AH1717" s="4"/>
      <c r="AI1717" s="4"/>
      <c r="AJ1717" s="4"/>
      <c r="AK1717" s="4"/>
      <c r="AL1717" s="4"/>
      <c r="AM1717" s="4"/>
      <c r="AN1717" s="4"/>
      <c r="AO1717" s="4"/>
      <c r="AP1717" s="4"/>
      <c r="AQ1717" s="4"/>
      <c r="AR1717" s="4"/>
      <c r="AS1717" s="4"/>
      <c r="AT1717" s="4"/>
      <c r="AU1717" s="4"/>
      <c r="AV1717" s="4"/>
      <c r="AW1717" s="4"/>
      <c r="AX1717" s="4"/>
      <c r="AY1717" s="4"/>
      <c r="AZ1717" s="4"/>
      <c r="BA1717" s="4"/>
      <c r="BB1717" s="4"/>
      <c r="BC1717" s="4"/>
      <c r="BD1717" s="4"/>
      <c r="BE1717" s="4"/>
      <c r="BF1717" s="4"/>
      <c r="BG1717" s="4"/>
      <c r="BH1717" s="4"/>
      <c r="BI1717" s="4"/>
      <c r="BJ1717" s="4"/>
      <c r="BK1717" s="4"/>
      <c r="BL1717" s="4"/>
      <c r="BM1717" s="4"/>
      <c r="BN1717" s="4"/>
      <c r="BO1717" s="4"/>
      <c r="BP1717" s="4"/>
      <c r="BQ1717" s="4"/>
      <c r="BR1717" s="4"/>
      <c r="BS1717" s="4"/>
      <c r="BT1717" s="4"/>
      <c r="BU1717" s="4"/>
      <c r="BV1717" s="4"/>
      <c r="BW1717" s="4"/>
      <c r="BX1717" s="4"/>
      <c r="BY1717" s="4"/>
      <c r="BZ1717" s="4"/>
      <c r="CA1717" s="4"/>
      <c r="CB1717" s="4"/>
      <c r="CC1717" s="4"/>
      <c r="CD1717" s="4"/>
      <c r="CE1717" s="4"/>
      <c r="CF1717" s="4"/>
      <c r="CG1717" s="4"/>
      <c r="CH1717" s="4"/>
      <c r="CI1717" s="4"/>
      <c r="CJ1717" s="4"/>
      <c r="CK1717" s="4"/>
      <c r="CL1717" s="4"/>
      <c r="CM1717" s="4"/>
      <c r="CN1717" s="4"/>
      <c r="CO1717" s="4"/>
      <c r="CP1717" s="4"/>
      <c r="CQ1717" s="4"/>
      <c r="CR1717" s="4"/>
      <c r="CS1717" s="4"/>
      <c r="CT1717" s="4"/>
      <c r="CU1717" s="4"/>
      <c r="CV1717" s="4"/>
      <c r="CW1717" s="4"/>
      <c r="CX1717" s="4"/>
      <c r="CY1717" s="4"/>
      <c r="CZ1717" s="4"/>
      <c r="DA1717" s="4"/>
      <c r="DB1717" s="4"/>
      <c r="DC1717" s="4"/>
      <c r="DD1717" s="4"/>
      <c r="DE1717" s="4"/>
      <c r="DF1717" s="4"/>
      <c r="DG1717" s="4"/>
      <c r="DH1717" s="4"/>
      <c r="DI1717" s="4"/>
      <c r="DJ1717" s="4"/>
      <c r="DK1717" s="4"/>
      <c r="DL1717" s="4"/>
      <c r="DM1717" s="4"/>
      <c r="DN1717" s="4"/>
      <c r="DO1717" s="4"/>
      <c r="DP1717" s="4"/>
      <c r="DQ1717" s="4"/>
      <c r="DR1717" s="4"/>
    </row>
    <row r="1718" spans="1:122" x14ac:dyDescent="0.25">
      <c r="A1718" s="2" t="s">
        <v>15</v>
      </c>
      <c r="B1718" s="2" t="str">
        <f>"FES1162769606"</f>
        <v>FES1162769606</v>
      </c>
      <c r="C1718" s="2" t="s">
        <v>1190</v>
      </c>
      <c r="D1718" s="2">
        <v>1</v>
      </c>
      <c r="E1718" s="2" t="str">
        <f>"2170756668"</f>
        <v>2170756668</v>
      </c>
      <c r="F1718" s="2" t="s">
        <v>17</v>
      </c>
      <c r="G1718" s="2" t="s">
        <v>18</v>
      </c>
      <c r="H1718" s="2" t="s">
        <v>36</v>
      </c>
      <c r="I1718" s="2" t="s">
        <v>67</v>
      </c>
      <c r="J1718" s="2" t="s">
        <v>146</v>
      </c>
      <c r="K1718" s="2" t="s">
        <v>1266</v>
      </c>
      <c r="L1718" s="3">
        <v>0.38819444444444445</v>
      </c>
      <c r="M1718" s="2" t="s">
        <v>1382</v>
      </c>
      <c r="N1718" s="2" t="s">
        <v>500</v>
      </c>
      <c r="O1718" s="2"/>
      <c r="P1718" s="4"/>
      <c r="Q1718" s="4"/>
      <c r="R1718" s="4"/>
      <c r="S1718" s="4"/>
      <c r="T1718" s="4"/>
      <c r="U1718" s="4"/>
      <c r="V1718" s="4"/>
      <c r="W1718" s="4"/>
      <c r="X1718" s="4"/>
      <c r="Y1718" s="4"/>
      <c r="Z1718" s="4"/>
      <c r="AA1718" s="4"/>
      <c r="AB1718" s="4"/>
      <c r="AC1718" s="4"/>
      <c r="AD1718" s="4"/>
      <c r="AE1718" s="4"/>
      <c r="AF1718" s="4"/>
      <c r="AG1718" s="4"/>
      <c r="AH1718" s="4"/>
      <c r="AI1718" s="4"/>
      <c r="AJ1718" s="4"/>
      <c r="AK1718" s="4"/>
      <c r="AL1718" s="4"/>
      <c r="AM1718" s="4"/>
      <c r="AN1718" s="4"/>
      <c r="AO1718" s="4"/>
      <c r="AP1718" s="4"/>
      <c r="AQ1718" s="4"/>
      <c r="AR1718" s="4"/>
      <c r="AS1718" s="4"/>
      <c r="AT1718" s="4"/>
      <c r="AU1718" s="4"/>
      <c r="AV1718" s="4"/>
      <c r="AW1718" s="4"/>
      <c r="AX1718" s="4"/>
      <c r="AY1718" s="4"/>
      <c r="AZ1718" s="4"/>
      <c r="BA1718" s="4"/>
      <c r="BB1718" s="4"/>
      <c r="BC1718" s="4"/>
      <c r="BD1718" s="4"/>
      <c r="BE1718" s="4"/>
      <c r="BF1718" s="4"/>
      <c r="BG1718" s="4"/>
      <c r="BH1718" s="4"/>
      <c r="BI1718" s="4"/>
      <c r="BJ1718" s="4"/>
      <c r="BK1718" s="4"/>
      <c r="BL1718" s="4"/>
      <c r="BM1718" s="4"/>
      <c r="BN1718" s="4"/>
      <c r="BO1718" s="4"/>
      <c r="BP1718" s="4"/>
      <c r="BQ1718" s="4"/>
      <c r="BR1718" s="4"/>
      <c r="BS1718" s="4"/>
      <c r="BT1718" s="4"/>
      <c r="BU1718" s="4"/>
      <c r="BV1718" s="4"/>
      <c r="BW1718" s="4"/>
      <c r="BX1718" s="4"/>
      <c r="BY1718" s="4"/>
      <c r="BZ1718" s="4"/>
      <c r="CA1718" s="4"/>
      <c r="CB1718" s="4"/>
      <c r="CC1718" s="4"/>
      <c r="CD1718" s="4"/>
      <c r="CE1718" s="4"/>
      <c r="CF1718" s="4"/>
      <c r="CG1718" s="4"/>
      <c r="CH1718" s="4"/>
      <c r="CI1718" s="4"/>
      <c r="CJ1718" s="4"/>
      <c r="CK1718" s="4"/>
      <c r="CL1718" s="4"/>
      <c r="CM1718" s="4"/>
      <c r="CN1718" s="4"/>
      <c r="CO1718" s="4"/>
      <c r="CP1718" s="4"/>
      <c r="CQ1718" s="4"/>
      <c r="CR1718" s="4"/>
      <c r="CS1718" s="4"/>
      <c r="CT1718" s="4"/>
      <c r="CU1718" s="4"/>
      <c r="CV1718" s="4"/>
      <c r="CW1718" s="4"/>
      <c r="CX1718" s="4"/>
      <c r="CY1718" s="4"/>
      <c r="CZ1718" s="4"/>
      <c r="DA1718" s="4"/>
      <c r="DB1718" s="4"/>
      <c r="DC1718" s="4"/>
      <c r="DD1718" s="4"/>
      <c r="DE1718" s="4"/>
      <c r="DF1718" s="4"/>
      <c r="DG1718" s="4"/>
      <c r="DH1718" s="4"/>
      <c r="DI1718" s="4"/>
      <c r="DJ1718" s="4"/>
      <c r="DK1718" s="4"/>
      <c r="DL1718" s="4"/>
      <c r="DM1718" s="4"/>
      <c r="DN1718" s="4"/>
      <c r="DO1718" s="4"/>
      <c r="DP1718" s="4"/>
      <c r="DQ1718" s="4"/>
      <c r="DR1718" s="4"/>
    </row>
    <row r="1719" spans="1:122" x14ac:dyDescent="0.25">
      <c r="A1719" s="2" t="s">
        <v>15</v>
      </c>
      <c r="B1719" s="2" t="str">
        <f>"FES1162769890"</f>
        <v>FES1162769890</v>
      </c>
      <c r="C1719" s="2" t="s">
        <v>1190</v>
      </c>
      <c r="D1719" s="2">
        <v>1</v>
      </c>
      <c r="E1719" s="2" t="str">
        <f>"2170757193"</f>
        <v>2170757193</v>
      </c>
      <c r="F1719" s="2" t="s">
        <v>17</v>
      </c>
      <c r="G1719" s="2" t="s">
        <v>18</v>
      </c>
      <c r="H1719" s="2" t="s">
        <v>18</v>
      </c>
      <c r="I1719" s="2" t="s">
        <v>63</v>
      </c>
      <c r="J1719" s="2" t="s">
        <v>93</v>
      </c>
      <c r="K1719" s="2" t="s">
        <v>1266</v>
      </c>
      <c r="L1719" s="3">
        <v>0.35555555555555557</v>
      </c>
      <c r="M1719" s="2" t="s">
        <v>736</v>
      </c>
      <c r="N1719" s="2" t="s">
        <v>500</v>
      </c>
      <c r="O1719" s="2"/>
      <c r="P1719" s="4"/>
      <c r="Q1719" s="4"/>
      <c r="R1719" s="4"/>
      <c r="S1719" s="4"/>
      <c r="T1719" s="4"/>
      <c r="U1719" s="4"/>
      <c r="V1719" s="4"/>
      <c r="W1719" s="4"/>
      <c r="X1719" s="4"/>
      <c r="Y1719" s="4"/>
      <c r="Z1719" s="4"/>
      <c r="AA1719" s="4"/>
      <c r="AB1719" s="4"/>
      <c r="AC1719" s="4"/>
      <c r="AD1719" s="4"/>
      <c r="AE1719" s="4"/>
      <c r="AF1719" s="4"/>
      <c r="AG1719" s="4"/>
      <c r="AH1719" s="4"/>
      <c r="AI1719" s="4"/>
      <c r="AJ1719" s="4"/>
      <c r="AK1719" s="4"/>
      <c r="AL1719" s="4"/>
      <c r="AM1719" s="4"/>
      <c r="AN1719" s="4"/>
      <c r="AO1719" s="4"/>
      <c r="AP1719" s="4"/>
      <c r="AQ1719" s="4"/>
      <c r="AR1719" s="4"/>
      <c r="AS1719" s="4"/>
      <c r="AT1719" s="4"/>
      <c r="AU1719" s="4"/>
      <c r="AV1719" s="4"/>
      <c r="AW1719" s="4"/>
      <c r="AX1719" s="4"/>
      <c r="AY1719" s="4"/>
      <c r="AZ1719" s="4"/>
      <c r="BA1719" s="4"/>
      <c r="BB1719" s="4"/>
      <c r="BC1719" s="4"/>
      <c r="BD1719" s="4"/>
      <c r="BE1719" s="4"/>
      <c r="BF1719" s="4"/>
      <c r="BG1719" s="4"/>
      <c r="BH1719" s="4"/>
      <c r="BI1719" s="4"/>
      <c r="BJ1719" s="4"/>
      <c r="BK1719" s="4"/>
      <c r="BL1719" s="4"/>
      <c r="BM1719" s="4"/>
      <c r="BN1719" s="4"/>
      <c r="BO1719" s="4"/>
      <c r="BP1719" s="4"/>
      <c r="BQ1719" s="4"/>
      <c r="BR1719" s="4"/>
      <c r="BS1719" s="4"/>
      <c r="BT1719" s="4"/>
      <c r="BU1719" s="4"/>
      <c r="BV1719" s="4"/>
      <c r="BW1719" s="4"/>
      <c r="BX1719" s="4"/>
      <c r="BY1719" s="4"/>
      <c r="BZ1719" s="4"/>
      <c r="CA1719" s="4"/>
      <c r="CB1719" s="4"/>
      <c r="CC1719" s="4"/>
      <c r="CD1719" s="4"/>
      <c r="CE1719" s="4"/>
      <c r="CF1719" s="4"/>
      <c r="CG1719" s="4"/>
      <c r="CH1719" s="4"/>
      <c r="CI1719" s="4"/>
      <c r="CJ1719" s="4"/>
      <c r="CK1719" s="4"/>
      <c r="CL1719" s="4"/>
      <c r="CM1719" s="4"/>
      <c r="CN1719" s="4"/>
      <c r="CO1719" s="4"/>
      <c r="CP1719" s="4"/>
      <c r="CQ1719" s="4"/>
      <c r="CR1719" s="4"/>
      <c r="CS1719" s="4"/>
      <c r="CT1719" s="4"/>
      <c r="CU1719" s="4"/>
      <c r="CV1719" s="4"/>
      <c r="CW1719" s="4"/>
      <c r="CX1719" s="4"/>
      <c r="CY1719" s="4"/>
      <c r="CZ1719" s="4"/>
      <c r="DA1719" s="4"/>
      <c r="DB1719" s="4"/>
      <c r="DC1719" s="4"/>
      <c r="DD1719" s="4"/>
      <c r="DE1719" s="4"/>
      <c r="DF1719" s="4"/>
      <c r="DG1719" s="4"/>
      <c r="DH1719" s="4"/>
      <c r="DI1719" s="4"/>
      <c r="DJ1719" s="4"/>
      <c r="DK1719" s="4"/>
      <c r="DL1719" s="4"/>
      <c r="DM1719" s="4"/>
      <c r="DN1719" s="4"/>
      <c r="DO1719" s="4"/>
      <c r="DP1719" s="4"/>
      <c r="DQ1719" s="4"/>
      <c r="DR1719" s="4"/>
    </row>
    <row r="1720" spans="1:122" x14ac:dyDescent="0.25">
      <c r="A1720" s="2" t="s">
        <v>15</v>
      </c>
      <c r="B1720" s="2" t="str">
        <f>"FES1162769989"</f>
        <v>FES1162769989</v>
      </c>
      <c r="C1720" s="2" t="s">
        <v>1190</v>
      </c>
      <c r="D1720" s="2">
        <v>1</v>
      </c>
      <c r="E1720" s="2" t="str">
        <f>"2170756400"</f>
        <v>2170756400</v>
      </c>
      <c r="F1720" s="2" t="s">
        <v>17</v>
      </c>
      <c r="G1720" s="2" t="s">
        <v>18</v>
      </c>
      <c r="H1720" s="2" t="s">
        <v>19</v>
      </c>
      <c r="I1720" s="2" t="s">
        <v>73</v>
      </c>
      <c r="J1720" s="2" t="s">
        <v>76</v>
      </c>
      <c r="K1720" s="2" t="s">
        <v>1266</v>
      </c>
      <c r="L1720" s="3">
        <v>0.3659722222222222</v>
      </c>
      <c r="M1720" s="2" t="s">
        <v>197</v>
      </c>
      <c r="N1720" s="2" t="s">
        <v>500</v>
      </c>
      <c r="O1720" s="2"/>
      <c r="P1720" s="4"/>
      <c r="Q1720" s="4"/>
      <c r="R1720" s="4"/>
      <c r="S1720" s="4"/>
      <c r="T1720" s="4"/>
      <c r="U1720" s="4"/>
      <c r="V1720" s="4"/>
      <c r="W1720" s="4"/>
      <c r="X1720" s="4"/>
      <c r="Y1720" s="4"/>
      <c r="Z1720" s="4"/>
      <c r="AA1720" s="4"/>
      <c r="AB1720" s="4"/>
      <c r="AC1720" s="4"/>
      <c r="AD1720" s="4"/>
      <c r="AE1720" s="4"/>
      <c r="AF1720" s="4"/>
      <c r="AG1720" s="4"/>
      <c r="AH1720" s="4"/>
      <c r="AI1720" s="4"/>
      <c r="AJ1720" s="4"/>
      <c r="AK1720" s="4"/>
      <c r="AL1720" s="4"/>
      <c r="AM1720" s="4"/>
      <c r="AN1720" s="4"/>
      <c r="AO1720" s="4"/>
      <c r="AP1720" s="4"/>
      <c r="AQ1720" s="4"/>
      <c r="AR1720" s="4"/>
      <c r="AS1720" s="4"/>
      <c r="AT1720" s="4"/>
      <c r="AU1720" s="4"/>
      <c r="AV1720" s="4"/>
      <c r="AW1720" s="4"/>
      <c r="AX1720" s="4"/>
      <c r="AY1720" s="4"/>
      <c r="AZ1720" s="4"/>
      <c r="BA1720" s="4"/>
      <c r="BB1720" s="4"/>
      <c r="BC1720" s="4"/>
      <c r="BD1720" s="4"/>
      <c r="BE1720" s="4"/>
      <c r="BF1720" s="4"/>
      <c r="BG1720" s="4"/>
      <c r="BH1720" s="4"/>
      <c r="BI1720" s="4"/>
      <c r="BJ1720" s="4"/>
      <c r="BK1720" s="4"/>
      <c r="BL1720" s="4"/>
      <c r="BM1720" s="4"/>
      <c r="BN1720" s="4"/>
      <c r="BO1720" s="4"/>
      <c r="BP1720" s="4"/>
      <c r="BQ1720" s="4"/>
      <c r="BR1720" s="4"/>
      <c r="BS1720" s="4"/>
      <c r="BT1720" s="4"/>
      <c r="BU1720" s="4"/>
      <c r="BV1720" s="4"/>
      <c r="BW1720" s="4"/>
      <c r="BX1720" s="4"/>
      <c r="BY1720" s="4"/>
      <c r="BZ1720" s="4"/>
      <c r="CA1720" s="4"/>
      <c r="CB1720" s="4"/>
      <c r="CC1720" s="4"/>
      <c r="CD1720" s="4"/>
      <c r="CE1720" s="4"/>
      <c r="CF1720" s="4"/>
      <c r="CG1720" s="4"/>
      <c r="CH1720" s="4"/>
      <c r="CI1720" s="4"/>
      <c r="CJ1720" s="4"/>
      <c r="CK1720" s="4"/>
      <c r="CL1720" s="4"/>
      <c r="CM1720" s="4"/>
      <c r="CN1720" s="4"/>
      <c r="CO1720" s="4"/>
      <c r="CP1720" s="4"/>
      <c r="CQ1720" s="4"/>
      <c r="CR1720" s="4"/>
      <c r="CS1720" s="4"/>
      <c r="CT1720" s="4"/>
      <c r="CU1720" s="4"/>
      <c r="CV1720" s="4"/>
      <c r="CW1720" s="4"/>
      <c r="CX1720" s="4"/>
      <c r="CY1720" s="4"/>
      <c r="CZ1720" s="4"/>
      <c r="DA1720" s="4"/>
      <c r="DB1720" s="4"/>
      <c r="DC1720" s="4"/>
      <c r="DD1720" s="4"/>
      <c r="DE1720" s="4"/>
      <c r="DF1720" s="4"/>
      <c r="DG1720" s="4"/>
      <c r="DH1720" s="4"/>
      <c r="DI1720" s="4"/>
      <c r="DJ1720" s="4"/>
      <c r="DK1720" s="4"/>
      <c r="DL1720" s="4"/>
      <c r="DM1720" s="4"/>
      <c r="DN1720" s="4"/>
      <c r="DO1720" s="4"/>
      <c r="DP1720" s="4"/>
      <c r="DQ1720" s="4"/>
      <c r="DR1720" s="4"/>
    </row>
    <row r="1721" spans="1:122" x14ac:dyDescent="0.25">
      <c r="A1721" s="2" t="s">
        <v>15</v>
      </c>
      <c r="B1721" s="2" t="str">
        <f>"FES1162769866"</f>
        <v>FES1162769866</v>
      </c>
      <c r="C1721" s="2" t="s">
        <v>1190</v>
      </c>
      <c r="D1721" s="2">
        <v>1</v>
      </c>
      <c r="E1721" s="2" t="str">
        <f>"2170757168"</f>
        <v>2170757168</v>
      </c>
      <c r="F1721" s="2" t="s">
        <v>17</v>
      </c>
      <c r="G1721" s="2" t="s">
        <v>18</v>
      </c>
      <c r="H1721" s="2" t="s">
        <v>18</v>
      </c>
      <c r="I1721" s="2" t="s">
        <v>63</v>
      </c>
      <c r="J1721" s="2" t="s">
        <v>93</v>
      </c>
      <c r="K1721" s="2" t="s">
        <v>1266</v>
      </c>
      <c r="L1721" s="3">
        <v>0.35416666666666669</v>
      </c>
      <c r="M1721" s="2" t="s">
        <v>736</v>
      </c>
      <c r="N1721" s="2" t="s">
        <v>500</v>
      </c>
      <c r="O1721" s="2"/>
      <c r="P1721" s="4"/>
      <c r="Q1721" s="4"/>
      <c r="R1721" s="4"/>
      <c r="S1721" s="4"/>
      <c r="T1721" s="4"/>
      <c r="U1721" s="4"/>
      <c r="V1721" s="4"/>
      <c r="W1721" s="4"/>
      <c r="X1721" s="4"/>
      <c r="Y1721" s="4"/>
      <c r="Z1721" s="4"/>
      <c r="AA1721" s="4"/>
      <c r="AB1721" s="4"/>
      <c r="AC1721" s="4"/>
      <c r="AD1721" s="4"/>
      <c r="AE1721" s="4"/>
      <c r="AF1721" s="4"/>
      <c r="AG1721" s="4"/>
      <c r="AH1721" s="4"/>
      <c r="AI1721" s="4"/>
      <c r="AJ1721" s="4"/>
      <c r="AK1721" s="4"/>
      <c r="AL1721" s="4"/>
      <c r="AM1721" s="4"/>
      <c r="AN1721" s="4"/>
      <c r="AO1721" s="4"/>
      <c r="AP1721" s="4"/>
      <c r="AQ1721" s="4"/>
      <c r="AR1721" s="4"/>
      <c r="AS1721" s="4"/>
      <c r="AT1721" s="4"/>
      <c r="AU1721" s="4"/>
      <c r="AV1721" s="4"/>
      <c r="AW1721" s="4"/>
      <c r="AX1721" s="4"/>
      <c r="AY1721" s="4"/>
      <c r="AZ1721" s="4"/>
      <c r="BA1721" s="4"/>
      <c r="BB1721" s="4"/>
      <c r="BC1721" s="4"/>
      <c r="BD1721" s="4"/>
      <c r="BE1721" s="4"/>
      <c r="BF1721" s="4"/>
      <c r="BG1721" s="4"/>
      <c r="BH1721" s="4"/>
      <c r="BI1721" s="4"/>
      <c r="BJ1721" s="4"/>
      <c r="BK1721" s="4"/>
      <c r="BL1721" s="4"/>
      <c r="BM1721" s="4"/>
      <c r="BN1721" s="4"/>
      <c r="BO1721" s="4"/>
      <c r="BP1721" s="4"/>
      <c r="BQ1721" s="4"/>
      <c r="BR1721" s="4"/>
      <c r="BS1721" s="4"/>
      <c r="BT1721" s="4"/>
      <c r="BU1721" s="4"/>
      <c r="BV1721" s="4"/>
      <c r="BW1721" s="4"/>
      <c r="BX1721" s="4"/>
      <c r="BY1721" s="4"/>
      <c r="BZ1721" s="4"/>
      <c r="CA1721" s="4"/>
      <c r="CB1721" s="4"/>
      <c r="CC1721" s="4"/>
      <c r="CD1721" s="4"/>
      <c r="CE1721" s="4"/>
      <c r="CF1721" s="4"/>
      <c r="CG1721" s="4"/>
      <c r="CH1721" s="4"/>
      <c r="CI1721" s="4"/>
      <c r="CJ1721" s="4"/>
      <c r="CK1721" s="4"/>
      <c r="CL1721" s="4"/>
      <c r="CM1721" s="4"/>
      <c r="CN1721" s="4"/>
      <c r="CO1721" s="4"/>
      <c r="CP1721" s="4"/>
      <c r="CQ1721" s="4"/>
      <c r="CR1721" s="4"/>
      <c r="CS1721" s="4"/>
      <c r="CT1721" s="4"/>
      <c r="CU1721" s="4"/>
      <c r="CV1721" s="4"/>
      <c r="CW1721" s="4"/>
      <c r="CX1721" s="4"/>
      <c r="CY1721" s="4"/>
      <c r="CZ1721" s="4"/>
      <c r="DA1721" s="4"/>
      <c r="DB1721" s="4"/>
      <c r="DC1721" s="4"/>
      <c r="DD1721" s="4"/>
      <c r="DE1721" s="4"/>
      <c r="DF1721" s="4"/>
      <c r="DG1721" s="4"/>
      <c r="DH1721" s="4"/>
      <c r="DI1721" s="4"/>
      <c r="DJ1721" s="4"/>
      <c r="DK1721" s="4"/>
      <c r="DL1721" s="4"/>
      <c r="DM1721" s="4"/>
      <c r="DN1721" s="4"/>
      <c r="DO1721" s="4"/>
      <c r="DP1721" s="4"/>
      <c r="DQ1721" s="4"/>
      <c r="DR1721" s="4"/>
    </row>
    <row r="1722" spans="1:122" x14ac:dyDescent="0.25">
      <c r="A1722" s="2" t="s">
        <v>15</v>
      </c>
      <c r="B1722" s="2" t="str">
        <f>"FES1162769634"</f>
        <v>FES1162769634</v>
      </c>
      <c r="C1722" s="2" t="s">
        <v>1190</v>
      </c>
      <c r="D1722" s="2">
        <v>1</v>
      </c>
      <c r="E1722" s="2" t="str">
        <f>"2170756714"</f>
        <v>2170756714</v>
      </c>
      <c r="F1722" s="2" t="s">
        <v>17</v>
      </c>
      <c r="G1722" s="2" t="s">
        <v>18</v>
      </c>
      <c r="H1722" s="2" t="s">
        <v>19</v>
      </c>
      <c r="I1722" s="2" t="s">
        <v>114</v>
      </c>
      <c r="J1722" s="2" t="s">
        <v>1316</v>
      </c>
      <c r="K1722" s="2" t="s">
        <v>1266</v>
      </c>
      <c r="L1722" s="3">
        <v>0.54722222222222217</v>
      </c>
      <c r="M1722" s="2" t="s">
        <v>1383</v>
      </c>
      <c r="N1722" s="2" t="s">
        <v>500</v>
      </c>
      <c r="O1722" s="2"/>
      <c r="P1722" s="4"/>
      <c r="Q1722" s="4"/>
      <c r="R1722" s="4"/>
      <c r="S1722" s="4"/>
      <c r="T1722" s="4"/>
      <c r="U1722" s="4"/>
      <c r="V1722" s="4"/>
      <c r="W1722" s="4"/>
      <c r="X1722" s="4"/>
      <c r="Y1722" s="4"/>
      <c r="Z1722" s="4"/>
      <c r="AA1722" s="4"/>
      <c r="AB1722" s="4"/>
      <c r="AC1722" s="4"/>
      <c r="AD1722" s="4"/>
      <c r="AE1722" s="4"/>
      <c r="AF1722" s="4"/>
      <c r="AG1722" s="4"/>
      <c r="AH1722" s="4"/>
      <c r="AI1722" s="4"/>
      <c r="AJ1722" s="4"/>
      <c r="AK1722" s="4"/>
      <c r="AL1722" s="4"/>
      <c r="AM1722" s="4"/>
      <c r="AN1722" s="4"/>
      <c r="AO1722" s="4"/>
      <c r="AP1722" s="4"/>
      <c r="AQ1722" s="4"/>
      <c r="AR1722" s="4"/>
      <c r="AS1722" s="4"/>
      <c r="AT1722" s="4"/>
      <c r="AU1722" s="4"/>
      <c r="AV1722" s="4"/>
      <c r="AW1722" s="4"/>
      <c r="AX1722" s="4"/>
      <c r="AY1722" s="4"/>
      <c r="AZ1722" s="4"/>
      <c r="BA1722" s="4"/>
      <c r="BB1722" s="4"/>
      <c r="BC1722" s="4"/>
      <c r="BD1722" s="4"/>
      <c r="BE1722" s="4"/>
      <c r="BF1722" s="4"/>
      <c r="BG1722" s="4"/>
      <c r="BH1722" s="4"/>
      <c r="BI1722" s="4"/>
      <c r="BJ1722" s="4"/>
      <c r="BK1722" s="4"/>
      <c r="BL1722" s="4"/>
      <c r="BM1722" s="4"/>
      <c r="BN1722" s="4"/>
      <c r="BO1722" s="4"/>
      <c r="BP1722" s="4"/>
      <c r="BQ1722" s="4"/>
      <c r="BR1722" s="4"/>
      <c r="BS1722" s="4"/>
      <c r="BT1722" s="4"/>
      <c r="BU1722" s="4"/>
      <c r="BV1722" s="4"/>
      <c r="BW1722" s="4"/>
      <c r="BX1722" s="4"/>
      <c r="BY1722" s="4"/>
      <c r="BZ1722" s="4"/>
      <c r="CA1722" s="4"/>
      <c r="CB1722" s="4"/>
      <c r="CC1722" s="4"/>
      <c r="CD1722" s="4"/>
      <c r="CE1722" s="4"/>
      <c r="CF1722" s="4"/>
      <c r="CG1722" s="4"/>
      <c r="CH1722" s="4"/>
      <c r="CI1722" s="4"/>
      <c r="CJ1722" s="4"/>
      <c r="CK1722" s="4"/>
      <c r="CL1722" s="4"/>
      <c r="CM1722" s="4"/>
      <c r="CN1722" s="4"/>
      <c r="CO1722" s="4"/>
      <c r="CP1722" s="4"/>
      <c r="CQ1722" s="4"/>
      <c r="CR1722" s="4"/>
      <c r="CS1722" s="4"/>
      <c r="CT1722" s="4"/>
      <c r="CU1722" s="4"/>
      <c r="CV1722" s="4"/>
      <c r="CW1722" s="4"/>
      <c r="CX1722" s="4"/>
      <c r="CY1722" s="4"/>
      <c r="CZ1722" s="4"/>
      <c r="DA1722" s="4"/>
      <c r="DB1722" s="4"/>
      <c r="DC1722" s="4"/>
      <c r="DD1722" s="4"/>
      <c r="DE1722" s="4"/>
      <c r="DF1722" s="4"/>
      <c r="DG1722" s="4"/>
      <c r="DH1722" s="4"/>
      <c r="DI1722" s="4"/>
      <c r="DJ1722" s="4"/>
      <c r="DK1722" s="4"/>
      <c r="DL1722" s="4"/>
      <c r="DM1722" s="4"/>
      <c r="DN1722" s="4"/>
      <c r="DO1722" s="4"/>
      <c r="DP1722" s="4"/>
      <c r="DQ1722" s="4"/>
      <c r="DR1722" s="4"/>
    </row>
    <row r="1723" spans="1:122" x14ac:dyDescent="0.25">
      <c r="A1723" s="2" t="s">
        <v>15</v>
      </c>
      <c r="B1723" s="2" t="str">
        <f>"FES1162769976"</f>
        <v>FES1162769976</v>
      </c>
      <c r="C1723" s="2" t="s">
        <v>1190</v>
      </c>
      <c r="D1723" s="2">
        <v>1</v>
      </c>
      <c r="E1723" s="2" t="str">
        <f>"2170755779"</f>
        <v>2170755779</v>
      </c>
      <c r="F1723" s="2" t="s">
        <v>17</v>
      </c>
      <c r="G1723" s="2" t="s">
        <v>18</v>
      </c>
      <c r="H1723" s="2" t="s">
        <v>25</v>
      </c>
      <c r="I1723" s="2" t="s">
        <v>42</v>
      </c>
      <c r="J1723" s="2" t="s">
        <v>416</v>
      </c>
      <c r="K1723" s="2" t="s">
        <v>1266</v>
      </c>
      <c r="L1723" s="3">
        <v>0.47847222222222219</v>
      </c>
      <c r="M1723" s="2" t="s">
        <v>688</v>
      </c>
      <c r="N1723" s="2" t="s">
        <v>500</v>
      </c>
      <c r="O1723" s="2"/>
      <c r="P1723" s="4"/>
      <c r="Q1723" s="4"/>
      <c r="R1723" s="4"/>
      <c r="S1723" s="4"/>
      <c r="T1723" s="4"/>
      <c r="U1723" s="4"/>
      <c r="V1723" s="4"/>
      <c r="W1723" s="4"/>
      <c r="X1723" s="4"/>
      <c r="Y1723" s="4"/>
      <c r="Z1723" s="4"/>
      <c r="AA1723" s="4"/>
      <c r="AB1723" s="4"/>
      <c r="AC1723" s="4"/>
      <c r="AD1723" s="4"/>
      <c r="AE1723" s="4"/>
      <c r="AF1723" s="4"/>
      <c r="AG1723" s="4"/>
      <c r="AH1723" s="4"/>
      <c r="AI1723" s="4"/>
      <c r="AJ1723" s="4"/>
      <c r="AK1723" s="4"/>
      <c r="AL1723" s="4"/>
      <c r="AM1723" s="4"/>
      <c r="AN1723" s="4"/>
      <c r="AO1723" s="4"/>
      <c r="AP1723" s="4"/>
      <c r="AQ1723" s="4"/>
      <c r="AR1723" s="4"/>
      <c r="AS1723" s="4"/>
      <c r="AT1723" s="4"/>
      <c r="AU1723" s="4"/>
      <c r="AV1723" s="4"/>
      <c r="AW1723" s="4"/>
      <c r="AX1723" s="4"/>
      <c r="AY1723" s="4"/>
      <c r="AZ1723" s="4"/>
      <c r="BA1723" s="4"/>
      <c r="BB1723" s="4"/>
      <c r="BC1723" s="4"/>
      <c r="BD1723" s="4"/>
      <c r="BE1723" s="4"/>
      <c r="BF1723" s="4"/>
      <c r="BG1723" s="4"/>
      <c r="BH1723" s="4"/>
      <c r="BI1723" s="4"/>
      <c r="BJ1723" s="4"/>
      <c r="BK1723" s="4"/>
      <c r="BL1723" s="4"/>
      <c r="BM1723" s="4"/>
      <c r="BN1723" s="4"/>
      <c r="BO1723" s="4"/>
      <c r="BP1723" s="4"/>
      <c r="BQ1723" s="4"/>
      <c r="BR1723" s="4"/>
      <c r="BS1723" s="4"/>
      <c r="BT1723" s="4"/>
      <c r="BU1723" s="4"/>
      <c r="BV1723" s="4"/>
      <c r="BW1723" s="4"/>
      <c r="BX1723" s="4"/>
      <c r="BY1723" s="4"/>
      <c r="BZ1723" s="4"/>
      <c r="CA1723" s="4"/>
      <c r="CB1723" s="4"/>
      <c r="CC1723" s="4"/>
      <c r="CD1723" s="4"/>
      <c r="CE1723" s="4"/>
      <c r="CF1723" s="4"/>
      <c r="CG1723" s="4"/>
      <c r="CH1723" s="4"/>
      <c r="CI1723" s="4"/>
      <c r="CJ1723" s="4"/>
      <c r="CK1723" s="4"/>
      <c r="CL1723" s="4"/>
      <c r="CM1723" s="4"/>
      <c r="CN1723" s="4"/>
      <c r="CO1723" s="4"/>
      <c r="CP1723" s="4"/>
      <c r="CQ1723" s="4"/>
      <c r="CR1723" s="4"/>
      <c r="CS1723" s="4"/>
      <c r="CT1723" s="4"/>
      <c r="CU1723" s="4"/>
      <c r="CV1723" s="4"/>
      <c r="CW1723" s="4"/>
      <c r="CX1723" s="4"/>
      <c r="CY1723" s="4"/>
      <c r="CZ1723" s="4"/>
      <c r="DA1723" s="4"/>
      <c r="DB1723" s="4"/>
      <c r="DC1723" s="4"/>
      <c r="DD1723" s="4"/>
      <c r="DE1723" s="4"/>
      <c r="DF1723" s="4"/>
      <c r="DG1723" s="4"/>
      <c r="DH1723" s="4"/>
      <c r="DI1723" s="4"/>
      <c r="DJ1723" s="4"/>
      <c r="DK1723" s="4"/>
      <c r="DL1723" s="4"/>
      <c r="DM1723" s="4"/>
      <c r="DN1723" s="4"/>
      <c r="DO1723" s="4"/>
      <c r="DP1723" s="4"/>
      <c r="DQ1723" s="4"/>
      <c r="DR1723" s="4"/>
    </row>
    <row r="1724" spans="1:122" x14ac:dyDescent="0.25">
      <c r="A1724" s="2" t="s">
        <v>15</v>
      </c>
      <c r="B1724" s="2" t="str">
        <f>"FES1162769610"</f>
        <v>FES1162769610</v>
      </c>
      <c r="C1724" s="2" t="s">
        <v>1190</v>
      </c>
      <c r="D1724" s="2">
        <v>1</v>
      </c>
      <c r="E1724" s="2" t="str">
        <f>"2170756674"</f>
        <v>2170756674</v>
      </c>
      <c r="F1724" s="2" t="s">
        <v>17</v>
      </c>
      <c r="G1724" s="2" t="s">
        <v>18</v>
      </c>
      <c r="H1724" s="2" t="s">
        <v>78</v>
      </c>
      <c r="I1724" s="2" t="s">
        <v>79</v>
      </c>
      <c r="J1724" s="2" t="s">
        <v>898</v>
      </c>
      <c r="K1724" s="2" t="s">
        <v>1266</v>
      </c>
      <c r="L1724" s="3">
        <v>0.40486111111111112</v>
      </c>
      <c r="M1724" s="2" t="s">
        <v>1384</v>
      </c>
      <c r="N1724" s="2" t="s">
        <v>500</v>
      </c>
      <c r="O1724" s="2"/>
      <c r="P1724" s="4"/>
      <c r="Q1724" s="4"/>
      <c r="R1724" s="4"/>
      <c r="S1724" s="4"/>
      <c r="T1724" s="4"/>
      <c r="U1724" s="4"/>
      <c r="V1724" s="4"/>
      <c r="W1724" s="4"/>
      <c r="X1724" s="4"/>
      <c r="Y1724" s="4"/>
      <c r="Z1724" s="4"/>
      <c r="AA1724" s="4"/>
      <c r="AB1724" s="4"/>
      <c r="AC1724" s="4"/>
      <c r="AD1724" s="4"/>
      <c r="AE1724" s="4"/>
      <c r="AF1724" s="4"/>
      <c r="AG1724" s="4"/>
      <c r="AH1724" s="4"/>
      <c r="AI1724" s="4"/>
      <c r="AJ1724" s="4"/>
      <c r="AK1724" s="4"/>
      <c r="AL1724" s="4"/>
      <c r="AM1724" s="4"/>
      <c r="AN1724" s="4"/>
      <c r="AO1724" s="4"/>
      <c r="AP1724" s="4"/>
      <c r="AQ1724" s="4"/>
      <c r="AR1724" s="4"/>
      <c r="AS1724" s="4"/>
      <c r="AT1724" s="4"/>
      <c r="AU1724" s="4"/>
      <c r="AV1724" s="4"/>
      <c r="AW1724" s="4"/>
      <c r="AX1724" s="4"/>
      <c r="AY1724" s="4"/>
      <c r="AZ1724" s="4"/>
      <c r="BA1724" s="4"/>
      <c r="BB1724" s="4"/>
      <c r="BC1724" s="4"/>
      <c r="BD1724" s="4"/>
      <c r="BE1724" s="4"/>
      <c r="BF1724" s="4"/>
      <c r="BG1724" s="4"/>
      <c r="BH1724" s="4"/>
      <c r="BI1724" s="4"/>
      <c r="BJ1724" s="4"/>
      <c r="BK1724" s="4"/>
      <c r="BL1724" s="4"/>
      <c r="BM1724" s="4"/>
      <c r="BN1724" s="4"/>
      <c r="BO1724" s="4"/>
      <c r="BP1724" s="4"/>
      <c r="BQ1724" s="4"/>
      <c r="BR1724" s="4"/>
      <c r="BS1724" s="4"/>
      <c r="BT1724" s="4"/>
      <c r="BU1724" s="4"/>
      <c r="BV1724" s="4"/>
      <c r="BW1724" s="4"/>
      <c r="BX1724" s="4"/>
      <c r="BY1724" s="4"/>
      <c r="BZ1724" s="4"/>
      <c r="CA1724" s="4"/>
      <c r="CB1724" s="4"/>
      <c r="CC1724" s="4"/>
      <c r="CD1724" s="4"/>
      <c r="CE1724" s="4"/>
      <c r="CF1724" s="4"/>
      <c r="CG1724" s="4"/>
      <c r="CH1724" s="4"/>
      <c r="CI1724" s="4"/>
      <c r="CJ1724" s="4"/>
      <c r="CK1724" s="4"/>
      <c r="CL1724" s="4"/>
      <c r="CM1724" s="4"/>
      <c r="CN1724" s="4"/>
      <c r="CO1724" s="4"/>
      <c r="CP1724" s="4"/>
      <c r="CQ1724" s="4"/>
      <c r="CR1724" s="4"/>
      <c r="CS1724" s="4"/>
      <c r="CT1724" s="4"/>
      <c r="CU1724" s="4"/>
      <c r="CV1724" s="4"/>
      <c r="CW1724" s="4"/>
      <c r="CX1724" s="4"/>
      <c r="CY1724" s="4"/>
      <c r="CZ1724" s="4"/>
      <c r="DA1724" s="4"/>
      <c r="DB1724" s="4"/>
      <c r="DC1724" s="4"/>
      <c r="DD1724" s="4"/>
      <c r="DE1724" s="4"/>
      <c r="DF1724" s="4"/>
      <c r="DG1724" s="4"/>
      <c r="DH1724" s="4"/>
      <c r="DI1724" s="4"/>
      <c r="DJ1724" s="4"/>
      <c r="DK1724" s="4"/>
      <c r="DL1724" s="4"/>
      <c r="DM1724" s="4"/>
      <c r="DN1724" s="4"/>
      <c r="DO1724" s="4"/>
      <c r="DP1724" s="4"/>
      <c r="DQ1724" s="4"/>
      <c r="DR1724" s="4"/>
    </row>
    <row r="1725" spans="1:122" x14ac:dyDescent="0.25">
      <c r="A1725" s="2" t="s">
        <v>15</v>
      </c>
      <c r="B1725" s="2" t="str">
        <f>"FES1162769904"</f>
        <v>FES1162769904</v>
      </c>
      <c r="C1725" s="2" t="s">
        <v>1190</v>
      </c>
      <c r="D1725" s="2">
        <v>1</v>
      </c>
      <c r="E1725" s="2" t="str">
        <f>"2170757211"</f>
        <v>2170757211</v>
      </c>
      <c r="F1725" s="2" t="s">
        <v>17</v>
      </c>
      <c r="G1725" s="2" t="s">
        <v>18</v>
      </c>
      <c r="H1725" s="2" t="s">
        <v>19</v>
      </c>
      <c r="I1725" s="2" t="s">
        <v>20</v>
      </c>
      <c r="J1725" s="2" t="s">
        <v>327</v>
      </c>
      <c r="K1725" s="2" t="s">
        <v>1266</v>
      </c>
      <c r="L1725" s="3">
        <v>0.32847222222222222</v>
      </c>
      <c r="M1725" s="2" t="s">
        <v>1344</v>
      </c>
      <c r="N1725" s="2" t="s">
        <v>500</v>
      </c>
      <c r="O1725" s="2"/>
      <c r="P1725" s="4"/>
      <c r="Q1725" s="4"/>
      <c r="R1725" s="4"/>
      <c r="S1725" s="4"/>
      <c r="T1725" s="4"/>
      <c r="U1725" s="4"/>
      <c r="V1725" s="4"/>
      <c r="W1725" s="4"/>
      <c r="X1725" s="4"/>
      <c r="Y1725" s="4"/>
      <c r="Z1725" s="4"/>
      <c r="AA1725" s="4"/>
      <c r="AB1725" s="4"/>
      <c r="AC1725" s="4"/>
      <c r="AD1725" s="4"/>
      <c r="AE1725" s="4"/>
      <c r="AF1725" s="4"/>
      <c r="AG1725" s="4"/>
      <c r="AH1725" s="4"/>
      <c r="AI1725" s="4"/>
      <c r="AJ1725" s="4"/>
      <c r="AK1725" s="4"/>
      <c r="AL1725" s="4"/>
      <c r="AM1725" s="4"/>
      <c r="AN1725" s="4"/>
      <c r="AO1725" s="4"/>
      <c r="AP1725" s="4"/>
      <c r="AQ1725" s="4"/>
      <c r="AR1725" s="4"/>
      <c r="AS1725" s="4"/>
      <c r="AT1725" s="4"/>
      <c r="AU1725" s="4"/>
      <c r="AV1725" s="4"/>
      <c r="AW1725" s="4"/>
      <c r="AX1725" s="4"/>
      <c r="AY1725" s="4"/>
      <c r="AZ1725" s="4"/>
      <c r="BA1725" s="4"/>
      <c r="BB1725" s="4"/>
      <c r="BC1725" s="4"/>
      <c r="BD1725" s="4"/>
      <c r="BE1725" s="4"/>
      <c r="BF1725" s="4"/>
      <c r="BG1725" s="4"/>
      <c r="BH1725" s="4"/>
      <c r="BI1725" s="4"/>
      <c r="BJ1725" s="4"/>
      <c r="BK1725" s="4"/>
      <c r="BL1725" s="4"/>
      <c r="BM1725" s="4"/>
      <c r="BN1725" s="4"/>
      <c r="BO1725" s="4"/>
      <c r="BP1725" s="4"/>
      <c r="BQ1725" s="4"/>
      <c r="BR1725" s="4"/>
      <c r="BS1725" s="4"/>
      <c r="BT1725" s="4"/>
      <c r="BU1725" s="4"/>
      <c r="BV1725" s="4"/>
      <c r="BW1725" s="4"/>
      <c r="BX1725" s="4"/>
      <c r="BY1725" s="4"/>
      <c r="BZ1725" s="4"/>
      <c r="CA1725" s="4"/>
      <c r="CB1725" s="4"/>
      <c r="CC1725" s="4"/>
      <c r="CD1725" s="4"/>
      <c r="CE1725" s="4"/>
      <c r="CF1725" s="4"/>
      <c r="CG1725" s="4"/>
      <c r="CH1725" s="4"/>
      <c r="CI1725" s="4"/>
      <c r="CJ1725" s="4"/>
      <c r="CK1725" s="4"/>
      <c r="CL1725" s="4"/>
      <c r="CM1725" s="4"/>
      <c r="CN1725" s="4"/>
      <c r="CO1725" s="4"/>
      <c r="CP1725" s="4"/>
      <c r="CQ1725" s="4"/>
      <c r="CR1725" s="4"/>
      <c r="CS1725" s="4"/>
      <c r="CT1725" s="4"/>
      <c r="CU1725" s="4"/>
      <c r="CV1725" s="4"/>
      <c r="CW1725" s="4"/>
      <c r="CX1725" s="4"/>
      <c r="CY1725" s="4"/>
      <c r="CZ1725" s="4"/>
      <c r="DA1725" s="4"/>
      <c r="DB1725" s="4"/>
      <c r="DC1725" s="4"/>
      <c r="DD1725" s="4"/>
      <c r="DE1725" s="4"/>
      <c r="DF1725" s="4"/>
      <c r="DG1725" s="4"/>
      <c r="DH1725" s="4"/>
      <c r="DI1725" s="4"/>
      <c r="DJ1725" s="4"/>
      <c r="DK1725" s="4"/>
      <c r="DL1725" s="4"/>
      <c r="DM1725" s="4"/>
      <c r="DN1725" s="4"/>
      <c r="DO1725" s="4"/>
      <c r="DP1725" s="4"/>
      <c r="DQ1725" s="4"/>
      <c r="DR1725" s="4"/>
    </row>
    <row r="1726" spans="1:122" x14ac:dyDescent="0.25">
      <c r="A1726" s="2" t="s">
        <v>15</v>
      </c>
      <c r="B1726" s="2" t="str">
        <f>"FES1162769589"</f>
        <v>FES1162769589</v>
      </c>
      <c r="C1726" s="2" t="s">
        <v>1190</v>
      </c>
      <c r="D1726" s="2">
        <v>1</v>
      </c>
      <c r="E1726" s="2" t="str">
        <f>"2170756636"</f>
        <v>2170756636</v>
      </c>
      <c r="F1726" s="2" t="s">
        <v>17</v>
      </c>
      <c r="G1726" s="2" t="s">
        <v>18</v>
      </c>
      <c r="H1726" s="2" t="s">
        <v>36</v>
      </c>
      <c r="I1726" s="2" t="s">
        <v>37</v>
      </c>
      <c r="J1726" s="2" t="s">
        <v>102</v>
      </c>
      <c r="K1726" s="2" t="s">
        <v>1266</v>
      </c>
      <c r="L1726" s="3">
        <v>0.37152777777777773</v>
      </c>
      <c r="M1726" s="2" t="s">
        <v>1361</v>
      </c>
      <c r="N1726" s="2" t="s">
        <v>500</v>
      </c>
      <c r="O1726" s="2"/>
      <c r="P1726" s="4"/>
      <c r="Q1726" s="4"/>
      <c r="R1726" s="4"/>
      <c r="S1726" s="4"/>
      <c r="T1726" s="4"/>
      <c r="U1726" s="4"/>
      <c r="V1726" s="4"/>
      <c r="W1726" s="4"/>
      <c r="X1726" s="4"/>
      <c r="Y1726" s="4"/>
      <c r="Z1726" s="4"/>
      <c r="AA1726" s="4"/>
      <c r="AB1726" s="4"/>
      <c r="AC1726" s="4"/>
      <c r="AD1726" s="4"/>
      <c r="AE1726" s="4"/>
      <c r="AF1726" s="4"/>
      <c r="AG1726" s="4"/>
      <c r="AH1726" s="4"/>
      <c r="AI1726" s="4"/>
      <c r="AJ1726" s="4"/>
      <c r="AK1726" s="4"/>
      <c r="AL1726" s="4"/>
      <c r="AM1726" s="4"/>
      <c r="AN1726" s="4"/>
      <c r="AO1726" s="4"/>
      <c r="AP1726" s="4"/>
      <c r="AQ1726" s="4"/>
      <c r="AR1726" s="4"/>
      <c r="AS1726" s="4"/>
      <c r="AT1726" s="4"/>
      <c r="AU1726" s="4"/>
      <c r="AV1726" s="4"/>
      <c r="AW1726" s="4"/>
      <c r="AX1726" s="4"/>
      <c r="AY1726" s="4"/>
      <c r="AZ1726" s="4"/>
      <c r="BA1726" s="4"/>
      <c r="BB1726" s="4"/>
      <c r="BC1726" s="4"/>
      <c r="BD1726" s="4"/>
      <c r="BE1726" s="4"/>
      <c r="BF1726" s="4"/>
      <c r="BG1726" s="4"/>
      <c r="BH1726" s="4"/>
      <c r="BI1726" s="4"/>
      <c r="BJ1726" s="4"/>
      <c r="BK1726" s="4"/>
      <c r="BL1726" s="4"/>
      <c r="BM1726" s="4"/>
      <c r="BN1726" s="4"/>
      <c r="BO1726" s="4"/>
      <c r="BP1726" s="4"/>
      <c r="BQ1726" s="4"/>
      <c r="BR1726" s="4"/>
      <c r="BS1726" s="4"/>
      <c r="BT1726" s="4"/>
      <c r="BU1726" s="4"/>
      <c r="BV1726" s="4"/>
      <c r="BW1726" s="4"/>
      <c r="BX1726" s="4"/>
      <c r="BY1726" s="4"/>
      <c r="BZ1726" s="4"/>
      <c r="CA1726" s="4"/>
      <c r="CB1726" s="4"/>
      <c r="CC1726" s="4"/>
      <c r="CD1726" s="4"/>
      <c r="CE1726" s="4"/>
      <c r="CF1726" s="4"/>
      <c r="CG1726" s="4"/>
      <c r="CH1726" s="4"/>
      <c r="CI1726" s="4"/>
      <c r="CJ1726" s="4"/>
      <c r="CK1726" s="4"/>
      <c r="CL1726" s="4"/>
      <c r="CM1726" s="4"/>
      <c r="CN1726" s="4"/>
      <c r="CO1726" s="4"/>
      <c r="CP1726" s="4"/>
      <c r="CQ1726" s="4"/>
      <c r="CR1726" s="4"/>
      <c r="CS1726" s="4"/>
      <c r="CT1726" s="4"/>
      <c r="CU1726" s="4"/>
      <c r="CV1726" s="4"/>
      <c r="CW1726" s="4"/>
      <c r="CX1726" s="4"/>
      <c r="CY1726" s="4"/>
      <c r="CZ1726" s="4"/>
      <c r="DA1726" s="4"/>
      <c r="DB1726" s="4"/>
      <c r="DC1726" s="4"/>
      <c r="DD1726" s="4"/>
      <c r="DE1726" s="4"/>
      <c r="DF1726" s="4"/>
      <c r="DG1726" s="4"/>
      <c r="DH1726" s="4"/>
      <c r="DI1726" s="4"/>
      <c r="DJ1726" s="4"/>
      <c r="DK1726" s="4"/>
      <c r="DL1726" s="4"/>
      <c r="DM1726" s="4"/>
      <c r="DN1726" s="4"/>
      <c r="DO1726" s="4"/>
      <c r="DP1726" s="4"/>
      <c r="DQ1726" s="4"/>
      <c r="DR1726" s="4"/>
    </row>
    <row r="1727" spans="1:122" x14ac:dyDescent="0.25">
      <c r="A1727" s="2" t="s">
        <v>15</v>
      </c>
      <c r="B1727" s="2" t="str">
        <f>"FES1162769614"</f>
        <v>FES1162769614</v>
      </c>
      <c r="C1727" s="2" t="s">
        <v>1190</v>
      </c>
      <c r="D1727" s="2">
        <v>1</v>
      </c>
      <c r="E1727" s="2" t="str">
        <f>"2170756682"</f>
        <v>2170756682</v>
      </c>
      <c r="F1727" s="2" t="s">
        <v>17</v>
      </c>
      <c r="G1727" s="2" t="s">
        <v>18</v>
      </c>
      <c r="H1727" s="2" t="s">
        <v>33</v>
      </c>
      <c r="I1727" s="2" t="s">
        <v>34</v>
      </c>
      <c r="J1727" s="2" t="s">
        <v>317</v>
      </c>
      <c r="K1727" s="2" t="s">
        <v>1266</v>
      </c>
      <c r="L1727" s="3">
        <v>0.43055555555555558</v>
      </c>
      <c r="M1727" s="2" t="s">
        <v>318</v>
      </c>
      <c r="N1727" s="2" t="s">
        <v>500</v>
      </c>
      <c r="O1727" s="2"/>
      <c r="P1727" s="4"/>
      <c r="Q1727" s="4"/>
      <c r="R1727" s="4"/>
      <c r="S1727" s="4"/>
      <c r="T1727" s="4"/>
      <c r="U1727" s="4"/>
      <c r="V1727" s="4"/>
      <c r="W1727" s="4"/>
      <c r="X1727" s="4"/>
      <c r="Y1727" s="4"/>
      <c r="Z1727" s="4"/>
      <c r="AA1727" s="4"/>
      <c r="AB1727" s="4"/>
      <c r="AC1727" s="4"/>
      <c r="AD1727" s="4"/>
      <c r="AE1727" s="4"/>
      <c r="AF1727" s="4"/>
      <c r="AG1727" s="4"/>
      <c r="AH1727" s="4"/>
      <c r="AI1727" s="4"/>
      <c r="AJ1727" s="4"/>
      <c r="AK1727" s="4"/>
      <c r="AL1727" s="4"/>
      <c r="AM1727" s="4"/>
      <c r="AN1727" s="4"/>
      <c r="AO1727" s="4"/>
      <c r="AP1727" s="4"/>
      <c r="AQ1727" s="4"/>
      <c r="AR1727" s="4"/>
      <c r="AS1727" s="4"/>
      <c r="AT1727" s="4"/>
      <c r="AU1727" s="4"/>
      <c r="AV1727" s="4"/>
      <c r="AW1727" s="4"/>
      <c r="AX1727" s="4"/>
      <c r="AY1727" s="4"/>
      <c r="AZ1727" s="4"/>
      <c r="BA1727" s="4"/>
      <c r="BB1727" s="4"/>
      <c r="BC1727" s="4"/>
      <c r="BD1727" s="4"/>
      <c r="BE1727" s="4"/>
      <c r="BF1727" s="4"/>
      <c r="BG1727" s="4"/>
      <c r="BH1727" s="4"/>
      <c r="BI1727" s="4"/>
      <c r="BJ1727" s="4"/>
      <c r="BK1727" s="4"/>
      <c r="BL1727" s="4"/>
      <c r="BM1727" s="4"/>
      <c r="BN1727" s="4"/>
      <c r="BO1727" s="4"/>
      <c r="BP1727" s="4"/>
      <c r="BQ1727" s="4"/>
      <c r="BR1727" s="4"/>
      <c r="BS1727" s="4"/>
      <c r="BT1727" s="4"/>
      <c r="BU1727" s="4"/>
      <c r="BV1727" s="4"/>
      <c r="BW1727" s="4"/>
      <c r="BX1727" s="4"/>
      <c r="BY1727" s="4"/>
      <c r="BZ1727" s="4"/>
      <c r="CA1727" s="4"/>
      <c r="CB1727" s="4"/>
      <c r="CC1727" s="4"/>
      <c r="CD1727" s="4"/>
      <c r="CE1727" s="4"/>
      <c r="CF1727" s="4"/>
      <c r="CG1727" s="4"/>
      <c r="CH1727" s="4"/>
      <c r="CI1727" s="4"/>
      <c r="CJ1727" s="4"/>
      <c r="CK1727" s="4"/>
      <c r="CL1727" s="4"/>
      <c r="CM1727" s="4"/>
      <c r="CN1727" s="4"/>
      <c r="CO1727" s="4"/>
      <c r="CP1727" s="4"/>
      <c r="CQ1727" s="4"/>
      <c r="CR1727" s="4"/>
      <c r="CS1727" s="4"/>
      <c r="CT1727" s="4"/>
      <c r="CU1727" s="4"/>
      <c r="CV1727" s="4"/>
      <c r="CW1727" s="4"/>
      <c r="CX1727" s="4"/>
      <c r="CY1727" s="4"/>
      <c r="CZ1727" s="4"/>
      <c r="DA1727" s="4"/>
      <c r="DB1727" s="4"/>
      <c r="DC1727" s="4"/>
      <c r="DD1727" s="4"/>
      <c r="DE1727" s="4"/>
      <c r="DF1727" s="4"/>
      <c r="DG1727" s="4"/>
      <c r="DH1727" s="4"/>
      <c r="DI1727" s="4"/>
      <c r="DJ1727" s="4"/>
      <c r="DK1727" s="4"/>
      <c r="DL1727" s="4"/>
      <c r="DM1727" s="4"/>
      <c r="DN1727" s="4"/>
      <c r="DO1727" s="4"/>
      <c r="DP1727" s="4"/>
      <c r="DQ1727" s="4"/>
      <c r="DR1727" s="4"/>
    </row>
    <row r="1728" spans="1:122" x14ac:dyDescent="0.25">
      <c r="A1728" s="2" t="s">
        <v>15</v>
      </c>
      <c r="B1728" s="2" t="str">
        <f>"FES1162769586"</f>
        <v>FES1162769586</v>
      </c>
      <c r="C1728" s="2" t="s">
        <v>1190</v>
      </c>
      <c r="D1728" s="2">
        <v>1</v>
      </c>
      <c r="E1728" s="2" t="str">
        <f>"21707566363"</f>
        <v>21707566363</v>
      </c>
      <c r="F1728" s="2" t="s">
        <v>17</v>
      </c>
      <c r="G1728" s="2" t="s">
        <v>18</v>
      </c>
      <c r="H1728" s="2" t="s">
        <v>18</v>
      </c>
      <c r="I1728" s="2" t="s">
        <v>57</v>
      </c>
      <c r="J1728" s="2" t="s">
        <v>888</v>
      </c>
      <c r="K1728" s="2" t="s">
        <v>1266</v>
      </c>
      <c r="L1728" s="3">
        <v>0.29930555555555555</v>
      </c>
      <c r="M1728" s="2" t="s">
        <v>1206</v>
      </c>
      <c r="N1728" s="2" t="s">
        <v>500</v>
      </c>
      <c r="O1728" s="2"/>
      <c r="P1728" s="4"/>
      <c r="Q1728" s="4"/>
      <c r="R1728" s="4"/>
      <c r="S1728" s="4"/>
      <c r="T1728" s="4"/>
      <c r="U1728" s="4"/>
      <c r="V1728" s="4"/>
      <c r="W1728" s="4"/>
      <c r="X1728" s="4"/>
      <c r="Y1728" s="4"/>
      <c r="Z1728" s="4"/>
      <c r="AA1728" s="4"/>
      <c r="AB1728" s="4"/>
      <c r="AC1728" s="4"/>
      <c r="AD1728" s="4"/>
      <c r="AE1728" s="4"/>
      <c r="AF1728" s="4"/>
      <c r="AG1728" s="4"/>
      <c r="AH1728" s="4"/>
      <c r="AI1728" s="4"/>
      <c r="AJ1728" s="4"/>
      <c r="AK1728" s="4"/>
      <c r="AL1728" s="4"/>
      <c r="AM1728" s="4"/>
      <c r="AN1728" s="4"/>
      <c r="AO1728" s="4"/>
      <c r="AP1728" s="4"/>
      <c r="AQ1728" s="4"/>
      <c r="AR1728" s="4"/>
      <c r="AS1728" s="4"/>
      <c r="AT1728" s="4"/>
      <c r="AU1728" s="4"/>
      <c r="AV1728" s="4"/>
      <c r="AW1728" s="4"/>
      <c r="AX1728" s="4"/>
      <c r="AY1728" s="4"/>
      <c r="AZ1728" s="4"/>
      <c r="BA1728" s="4"/>
      <c r="BB1728" s="4"/>
      <c r="BC1728" s="4"/>
      <c r="BD1728" s="4"/>
      <c r="BE1728" s="4"/>
      <c r="BF1728" s="4"/>
      <c r="BG1728" s="4"/>
      <c r="BH1728" s="4"/>
      <c r="BI1728" s="4"/>
      <c r="BJ1728" s="4"/>
      <c r="BK1728" s="4"/>
      <c r="BL1728" s="4"/>
      <c r="BM1728" s="4"/>
      <c r="BN1728" s="4"/>
      <c r="BO1728" s="4"/>
      <c r="BP1728" s="4"/>
      <c r="BQ1728" s="4"/>
      <c r="BR1728" s="4"/>
      <c r="BS1728" s="4"/>
      <c r="BT1728" s="4"/>
      <c r="BU1728" s="4"/>
      <c r="BV1728" s="4"/>
      <c r="BW1728" s="4"/>
      <c r="BX1728" s="4"/>
      <c r="BY1728" s="4"/>
      <c r="BZ1728" s="4"/>
      <c r="CA1728" s="4"/>
      <c r="CB1728" s="4"/>
      <c r="CC1728" s="4"/>
      <c r="CD1728" s="4"/>
      <c r="CE1728" s="4"/>
      <c r="CF1728" s="4"/>
      <c r="CG1728" s="4"/>
      <c r="CH1728" s="4"/>
      <c r="CI1728" s="4"/>
      <c r="CJ1728" s="4"/>
      <c r="CK1728" s="4"/>
      <c r="CL1728" s="4"/>
      <c r="CM1728" s="4"/>
      <c r="CN1728" s="4"/>
      <c r="CO1728" s="4"/>
      <c r="CP1728" s="4"/>
      <c r="CQ1728" s="4"/>
      <c r="CR1728" s="4"/>
      <c r="CS1728" s="4"/>
      <c r="CT1728" s="4"/>
      <c r="CU1728" s="4"/>
      <c r="CV1728" s="4"/>
      <c r="CW1728" s="4"/>
      <c r="CX1728" s="4"/>
      <c r="CY1728" s="4"/>
      <c r="CZ1728" s="4"/>
      <c r="DA1728" s="4"/>
      <c r="DB1728" s="4"/>
      <c r="DC1728" s="4"/>
      <c r="DD1728" s="4"/>
      <c r="DE1728" s="4"/>
      <c r="DF1728" s="4"/>
      <c r="DG1728" s="4"/>
      <c r="DH1728" s="4"/>
      <c r="DI1728" s="4"/>
      <c r="DJ1728" s="4"/>
      <c r="DK1728" s="4"/>
      <c r="DL1728" s="4"/>
      <c r="DM1728" s="4"/>
      <c r="DN1728" s="4"/>
      <c r="DO1728" s="4"/>
      <c r="DP1728" s="4"/>
      <c r="DQ1728" s="4"/>
      <c r="DR1728" s="4"/>
    </row>
    <row r="1729" spans="1:122" x14ac:dyDescent="0.25">
      <c r="A1729" s="2" t="s">
        <v>15</v>
      </c>
      <c r="B1729" s="2" t="str">
        <f>"FES1162769593"</f>
        <v>FES1162769593</v>
      </c>
      <c r="C1729" s="2" t="s">
        <v>1190</v>
      </c>
      <c r="D1729" s="2">
        <v>1</v>
      </c>
      <c r="E1729" s="2" t="str">
        <f>"2170756646"</f>
        <v>2170756646</v>
      </c>
      <c r="F1729" s="2" t="s">
        <v>17</v>
      </c>
      <c r="G1729" s="2" t="s">
        <v>18</v>
      </c>
      <c r="H1729" s="2" t="s">
        <v>18</v>
      </c>
      <c r="I1729" s="2" t="s">
        <v>57</v>
      </c>
      <c r="J1729" s="2" t="s">
        <v>58</v>
      </c>
      <c r="K1729" s="2" t="s">
        <v>1266</v>
      </c>
      <c r="L1729" s="3">
        <v>0.40833333333333338</v>
      </c>
      <c r="M1729" s="2" t="s">
        <v>1385</v>
      </c>
      <c r="N1729" s="2" t="s">
        <v>500</v>
      </c>
      <c r="O1729" s="2"/>
      <c r="P1729" s="4"/>
      <c r="Q1729" s="4"/>
      <c r="R1729" s="4"/>
      <c r="S1729" s="4"/>
      <c r="T1729" s="4"/>
      <c r="U1729" s="4"/>
      <c r="V1729" s="4"/>
      <c r="W1729" s="4"/>
      <c r="X1729" s="4"/>
      <c r="Y1729" s="4"/>
      <c r="Z1729" s="4"/>
      <c r="AA1729" s="4"/>
      <c r="AB1729" s="4"/>
      <c r="AC1729" s="4"/>
      <c r="AD1729" s="4"/>
      <c r="AE1729" s="4"/>
      <c r="AF1729" s="4"/>
      <c r="AG1729" s="4"/>
      <c r="AH1729" s="4"/>
      <c r="AI1729" s="4"/>
      <c r="AJ1729" s="4"/>
      <c r="AK1729" s="4"/>
      <c r="AL1729" s="4"/>
      <c r="AM1729" s="4"/>
      <c r="AN1729" s="4"/>
      <c r="AO1729" s="4"/>
      <c r="AP1729" s="4"/>
      <c r="AQ1729" s="4"/>
      <c r="AR1729" s="4"/>
      <c r="AS1729" s="4"/>
      <c r="AT1729" s="4"/>
      <c r="AU1729" s="4"/>
      <c r="AV1729" s="4"/>
      <c r="AW1729" s="4"/>
      <c r="AX1729" s="4"/>
      <c r="AY1729" s="4"/>
      <c r="AZ1729" s="4"/>
      <c r="BA1729" s="4"/>
      <c r="BB1729" s="4"/>
      <c r="BC1729" s="4"/>
      <c r="BD1729" s="4"/>
      <c r="BE1729" s="4"/>
      <c r="BF1729" s="4"/>
      <c r="BG1729" s="4"/>
      <c r="BH1729" s="4"/>
      <c r="BI1729" s="4"/>
      <c r="BJ1729" s="4"/>
      <c r="BK1729" s="4"/>
      <c r="BL1729" s="4"/>
      <c r="BM1729" s="4"/>
      <c r="BN1729" s="4"/>
      <c r="BO1729" s="4"/>
      <c r="BP1729" s="4"/>
      <c r="BQ1729" s="4"/>
      <c r="BR1729" s="4"/>
      <c r="BS1729" s="4"/>
      <c r="BT1729" s="4"/>
      <c r="BU1729" s="4"/>
      <c r="BV1729" s="4"/>
      <c r="BW1729" s="4"/>
      <c r="BX1729" s="4"/>
      <c r="BY1729" s="4"/>
      <c r="BZ1729" s="4"/>
      <c r="CA1729" s="4"/>
      <c r="CB1729" s="4"/>
      <c r="CC1729" s="4"/>
      <c r="CD1729" s="4"/>
      <c r="CE1729" s="4"/>
      <c r="CF1729" s="4"/>
      <c r="CG1729" s="4"/>
      <c r="CH1729" s="4"/>
      <c r="CI1729" s="4"/>
      <c r="CJ1729" s="4"/>
      <c r="CK1729" s="4"/>
      <c r="CL1729" s="4"/>
      <c r="CM1729" s="4"/>
      <c r="CN1729" s="4"/>
      <c r="CO1729" s="4"/>
      <c r="CP1729" s="4"/>
      <c r="CQ1729" s="4"/>
      <c r="CR1729" s="4"/>
      <c r="CS1729" s="4"/>
      <c r="CT1729" s="4"/>
      <c r="CU1729" s="4"/>
      <c r="CV1729" s="4"/>
      <c r="CW1729" s="4"/>
      <c r="CX1729" s="4"/>
      <c r="CY1729" s="4"/>
      <c r="CZ1729" s="4"/>
      <c r="DA1729" s="4"/>
      <c r="DB1729" s="4"/>
      <c r="DC1729" s="4"/>
      <c r="DD1729" s="4"/>
      <c r="DE1729" s="4"/>
      <c r="DF1729" s="4"/>
      <c r="DG1729" s="4"/>
      <c r="DH1729" s="4"/>
      <c r="DI1729" s="4"/>
      <c r="DJ1729" s="4"/>
      <c r="DK1729" s="4"/>
      <c r="DL1729" s="4"/>
      <c r="DM1729" s="4"/>
      <c r="DN1729" s="4"/>
      <c r="DO1729" s="4"/>
      <c r="DP1729" s="4"/>
      <c r="DQ1729" s="4"/>
      <c r="DR1729" s="4"/>
    </row>
    <row r="1730" spans="1:122" x14ac:dyDescent="0.25">
      <c r="A1730" s="2" t="s">
        <v>15</v>
      </c>
      <c r="B1730" s="2" t="str">
        <f>"FES1162769656"</f>
        <v>FES1162769656</v>
      </c>
      <c r="C1730" s="2" t="s">
        <v>1190</v>
      </c>
      <c r="D1730" s="2">
        <v>1</v>
      </c>
      <c r="E1730" s="2" t="str">
        <f>"2170756749"</f>
        <v>2170756749</v>
      </c>
      <c r="F1730" s="2" t="s">
        <v>17</v>
      </c>
      <c r="G1730" s="2" t="s">
        <v>18</v>
      </c>
      <c r="H1730" s="2" t="s">
        <v>25</v>
      </c>
      <c r="I1730" s="2" t="s">
        <v>26</v>
      </c>
      <c r="J1730" s="2" t="s">
        <v>44</v>
      </c>
      <c r="K1730" s="2" t="s">
        <v>1266</v>
      </c>
      <c r="L1730" s="3">
        <v>0.43402777777777773</v>
      </c>
      <c r="M1730" s="2" t="s">
        <v>181</v>
      </c>
      <c r="N1730" s="2" t="s">
        <v>500</v>
      </c>
      <c r="O1730" s="2"/>
      <c r="P1730" s="4"/>
      <c r="Q1730" s="4"/>
      <c r="R1730" s="4"/>
      <c r="S1730" s="4"/>
      <c r="T1730" s="4"/>
      <c r="U1730" s="4"/>
      <c r="V1730" s="4"/>
      <c r="W1730" s="4"/>
      <c r="X1730" s="4"/>
      <c r="Y1730" s="4"/>
      <c r="Z1730" s="4"/>
      <c r="AA1730" s="4"/>
      <c r="AB1730" s="4"/>
      <c r="AC1730" s="4"/>
      <c r="AD1730" s="4"/>
      <c r="AE1730" s="4"/>
      <c r="AF1730" s="4"/>
      <c r="AG1730" s="4"/>
      <c r="AH1730" s="4"/>
      <c r="AI1730" s="4"/>
      <c r="AJ1730" s="4"/>
      <c r="AK1730" s="4"/>
      <c r="AL1730" s="4"/>
      <c r="AM1730" s="4"/>
      <c r="AN1730" s="4"/>
      <c r="AO1730" s="4"/>
      <c r="AP1730" s="4"/>
      <c r="AQ1730" s="4"/>
      <c r="AR1730" s="4"/>
      <c r="AS1730" s="4"/>
      <c r="AT1730" s="4"/>
      <c r="AU1730" s="4"/>
      <c r="AV1730" s="4"/>
      <c r="AW1730" s="4"/>
      <c r="AX1730" s="4"/>
      <c r="AY1730" s="4"/>
      <c r="AZ1730" s="4"/>
      <c r="BA1730" s="4"/>
      <c r="BB1730" s="4"/>
      <c r="BC1730" s="4"/>
      <c r="BD1730" s="4"/>
      <c r="BE1730" s="4"/>
      <c r="BF1730" s="4"/>
      <c r="BG1730" s="4"/>
      <c r="BH1730" s="4"/>
      <c r="BI1730" s="4"/>
      <c r="BJ1730" s="4"/>
      <c r="BK1730" s="4"/>
      <c r="BL1730" s="4"/>
      <c r="BM1730" s="4"/>
      <c r="BN1730" s="4"/>
      <c r="BO1730" s="4"/>
      <c r="BP1730" s="4"/>
      <c r="BQ1730" s="4"/>
      <c r="BR1730" s="4"/>
      <c r="BS1730" s="4"/>
      <c r="BT1730" s="4"/>
      <c r="BU1730" s="4"/>
      <c r="BV1730" s="4"/>
      <c r="BW1730" s="4"/>
      <c r="BX1730" s="4"/>
      <c r="BY1730" s="4"/>
      <c r="BZ1730" s="4"/>
      <c r="CA1730" s="4"/>
      <c r="CB1730" s="4"/>
      <c r="CC1730" s="4"/>
      <c r="CD1730" s="4"/>
      <c r="CE1730" s="4"/>
      <c r="CF1730" s="4"/>
      <c r="CG1730" s="4"/>
      <c r="CH1730" s="4"/>
      <c r="CI1730" s="4"/>
      <c r="CJ1730" s="4"/>
      <c r="CK1730" s="4"/>
      <c r="CL1730" s="4"/>
      <c r="CM1730" s="4"/>
      <c r="CN1730" s="4"/>
      <c r="CO1730" s="4"/>
      <c r="CP1730" s="4"/>
      <c r="CQ1730" s="4"/>
      <c r="CR1730" s="4"/>
      <c r="CS1730" s="4"/>
      <c r="CT1730" s="4"/>
      <c r="CU1730" s="4"/>
      <c r="CV1730" s="4"/>
      <c r="CW1730" s="4"/>
      <c r="CX1730" s="4"/>
      <c r="CY1730" s="4"/>
      <c r="CZ1730" s="4"/>
      <c r="DA1730" s="4"/>
      <c r="DB1730" s="4"/>
      <c r="DC1730" s="4"/>
      <c r="DD1730" s="4"/>
      <c r="DE1730" s="4"/>
      <c r="DF1730" s="4"/>
      <c r="DG1730" s="4"/>
      <c r="DH1730" s="4"/>
      <c r="DI1730" s="4"/>
      <c r="DJ1730" s="4"/>
      <c r="DK1730" s="4"/>
      <c r="DL1730" s="4"/>
      <c r="DM1730" s="4"/>
      <c r="DN1730" s="4"/>
      <c r="DO1730" s="4"/>
      <c r="DP1730" s="4"/>
      <c r="DQ1730" s="4"/>
      <c r="DR1730" s="4"/>
    </row>
    <row r="1731" spans="1:122" x14ac:dyDescent="0.25">
      <c r="A1731" s="2" t="s">
        <v>15</v>
      </c>
      <c r="B1731" s="2" t="str">
        <f>"FES1162769659"</f>
        <v>FES1162769659</v>
      </c>
      <c r="C1731" s="2" t="s">
        <v>1190</v>
      </c>
      <c r="D1731" s="2">
        <v>1</v>
      </c>
      <c r="E1731" s="2" t="str">
        <f>"2170756756"</f>
        <v>2170756756</v>
      </c>
      <c r="F1731" s="2" t="s">
        <v>17</v>
      </c>
      <c r="G1731" s="2" t="s">
        <v>18</v>
      </c>
      <c r="H1731" s="2" t="s">
        <v>25</v>
      </c>
      <c r="I1731" s="2" t="s">
        <v>26</v>
      </c>
      <c r="J1731" s="2" t="s">
        <v>75</v>
      </c>
      <c r="K1731" s="2" t="s">
        <v>1266</v>
      </c>
      <c r="L1731" s="3">
        <v>0.33402777777777781</v>
      </c>
      <c r="M1731" s="2" t="s">
        <v>1329</v>
      </c>
      <c r="N1731" s="2" t="s">
        <v>500</v>
      </c>
      <c r="O1731" s="2"/>
      <c r="P1731" s="4"/>
      <c r="Q1731" s="4"/>
      <c r="R1731" s="4"/>
      <c r="S1731" s="4"/>
      <c r="T1731" s="4"/>
      <c r="U1731" s="4"/>
      <c r="V1731" s="4"/>
      <c r="W1731" s="4"/>
      <c r="X1731" s="4"/>
      <c r="Y1731" s="4"/>
      <c r="Z1731" s="4"/>
      <c r="AA1731" s="4"/>
      <c r="AB1731" s="4"/>
      <c r="AC1731" s="4"/>
      <c r="AD1731" s="4"/>
      <c r="AE1731" s="4"/>
      <c r="AF1731" s="4"/>
      <c r="AG1731" s="4"/>
      <c r="AH1731" s="4"/>
      <c r="AI1731" s="4"/>
      <c r="AJ1731" s="4"/>
      <c r="AK1731" s="4"/>
      <c r="AL1731" s="4"/>
      <c r="AM1731" s="4"/>
      <c r="AN1731" s="4"/>
      <c r="AO1731" s="4"/>
      <c r="AP1731" s="4"/>
      <c r="AQ1731" s="4"/>
      <c r="AR1731" s="4"/>
      <c r="AS1731" s="4"/>
      <c r="AT1731" s="4"/>
      <c r="AU1731" s="4"/>
      <c r="AV1731" s="4"/>
      <c r="AW1731" s="4"/>
      <c r="AX1731" s="4"/>
      <c r="AY1731" s="4"/>
      <c r="AZ1731" s="4"/>
      <c r="BA1731" s="4"/>
      <c r="BB1731" s="4"/>
      <c r="BC1731" s="4"/>
      <c r="BD1731" s="4"/>
      <c r="BE1731" s="4"/>
      <c r="BF1731" s="4"/>
      <c r="BG1731" s="4"/>
      <c r="BH1731" s="4"/>
      <c r="BI1731" s="4"/>
      <c r="BJ1731" s="4"/>
      <c r="BK1731" s="4"/>
      <c r="BL1731" s="4"/>
      <c r="BM1731" s="4"/>
      <c r="BN1731" s="4"/>
      <c r="BO1731" s="4"/>
      <c r="BP1731" s="4"/>
      <c r="BQ1731" s="4"/>
      <c r="BR1731" s="4"/>
      <c r="BS1731" s="4"/>
      <c r="BT1731" s="4"/>
      <c r="BU1731" s="4"/>
      <c r="BV1731" s="4"/>
      <c r="BW1731" s="4"/>
      <c r="BX1731" s="4"/>
      <c r="BY1731" s="4"/>
      <c r="BZ1731" s="4"/>
      <c r="CA1731" s="4"/>
      <c r="CB1731" s="4"/>
      <c r="CC1731" s="4"/>
      <c r="CD1731" s="4"/>
      <c r="CE1731" s="4"/>
      <c r="CF1731" s="4"/>
      <c r="CG1731" s="4"/>
      <c r="CH1731" s="4"/>
      <c r="CI1731" s="4"/>
      <c r="CJ1731" s="4"/>
      <c r="CK1731" s="4"/>
      <c r="CL1731" s="4"/>
      <c r="CM1731" s="4"/>
      <c r="CN1731" s="4"/>
      <c r="CO1731" s="4"/>
      <c r="CP1731" s="4"/>
      <c r="CQ1731" s="4"/>
      <c r="CR1731" s="4"/>
      <c r="CS1731" s="4"/>
      <c r="CT1731" s="4"/>
      <c r="CU1731" s="4"/>
      <c r="CV1731" s="4"/>
      <c r="CW1731" s="4"/>
      <c r="CX1731" s="4"/>
      <c r="CY1731" s="4"/>
      <c r="CZ1731" s="4"/>
      <c r="DA1731" s="4"/>
      <c r="DB1731" s="4"/>
      <c r="DC1731" s="4"/>
      <c r="DD1731" s="4"/>
      <c r="DE1731" s="4"/>
      <c r="DF1731" s="4"/>
      <c r="DG1731" s="4"/>
      <c r="DH1731" s="4"/>
      <c r="DI1731" s="4"/>
      <c r="DJ1731" s="4"/>
      <c r="DK1731" s="4"/>
      <c r="DL1731" s="4"/>
      <c r="DM1731" s="4"/>
      <c r="DN1731" s="4"/>
      <c r="DO1731" s="4"/>
      <c r="DP1731" s="4"/>
      <c r="DQ1731" s="4"/>
      <c r="DR1731" s="4"/>
    </row>
    <row r="1732" spans="1:122" x14ac:dyDescent="0.25">
      <c r="A1732" s="2" t="s">
        <v>15</v>
      </c>
      <c r="B1732" s="2" t="str">
        <f>"FES1162769630"</f>
        <v>FES1162769630</v>
      </c>
      <c r="C1732" s="2" t="s">
        <v>1190</v>
      </c>
      <c r="D1732" s="2">
        <v>1</v>
      </c>
      <c r="E1732" s="2" t="str">
        <f>"2170756708"</f>
        <v>2170756708</v>
      </c>
      <c r="F1732" s="2" t="s">
        <v>17</v>
      </c>
      <c r="G1732" s="2" t="s">
        <v>18</v>
      </c>
      <c r="H1732" s="2" t="s">
        <v>25</v>
      </c>
      <c r="I1732" s="2" t="s">
        <v>26</v>
      </c>
      <c r="J1732" s="2" t="s">
        <v>427</v>
      </c>
      <c r="K1732" s="2" t="s">
        <v>1266</v>
      </c>
      <c r="L1732" s="3">
        <v>0.4548611111111111</v>
      </c>
      <c r="M1732" s="2" t="s">
        <v>532</v>
      </c>
      <c r="N1732" s="2" t="s">
        <v>500</v>
      </c>
      <c r="O1732" s="2"/>
      <c r="P1732" s="4"/>
      <c r="Q1732" s="4"/>
      <c r="R1732" s="4"/>
      <c r="S1732" s="4"/>
      <c r="T1732" s="4"/>
      <c r="U1732" s="4"/>
      <c r="V1732" s="4"/>
      <c r="W1732" s="4"/>
      <c r="X1732" s="4"/>
      <c r="Y1732" s="4"/>
      <c r="Z1732" s="4"/>
      <c r="AA1732" s="4"/>
      <c r="AB1732" s="4"/>
      <c r="AC1732" s="4"/>
      <c r="AD1732" s="4"/>
      <c r="AE1732" s="4"/>
      <c r="AF1732" s="4"/>
      <c r="AG1732" s="4"/>
      <c r="AH1732" s="4"/>
      <c r="AI1732" s="4"/>
      <c r="AJ1732" s="4"/>
      <c r="AK1732" s="4"/>
      <c r="AL1732" s="4"/>
      <c r="AM1732" s="4"/>
      <c r="AN1732" s="4"/>
      <c r="AO1732" s="4"/>
      <c r="AP1732" s="4"/>
      <c r="AQ1732" s="4"/>
      <c r="AR1732" s="4"/>
      <c r="AS1732" s="4"/>
      <c r="AT1732" s="4"/>
      <c r="AU1732" s="4"/>
      <c r="AV1732" s="4"/>
      <c r="AW1732" s="4"/>
      <c r="AX1732" s="4"/>
      <c r="AY1732" s="4"/>
      <c r="AZ1732" s="4"/>
      <c r="BA1732" s="4"/>
      <c r="BB1732" s="4"/>
      <c r="BC1732" s="4"/>
      <c r="BD1732" s="4"/>
      <c r="BE1732" s="4"/>
      <c r="BF1732" s="4"/>
      <c r="BG1732" s="4"/>
      <c r="BH1732" s="4"/>
      <c r="BI1732" s="4"/>
      <c r="BJ1732" s="4"/>
      <c r="BK1732" s="4"/>
      <c r="BL1732" s="4"/>
      <c r="BM1732" s="4"/>
      <c r="BN1732" s="4"/>
      <c r="BO1732" s="4"/>
      <c r="BP1732" s="4"/>
      <c r="BQ1732" s="4"/>
      <c r="BR1732" s="4"/>
      <c r="BS1732" s="4"/>
      <c r="BT1732" s="4"/>
      <c r="BU1732" s="4"/>
      <c r="BV1732" s="4"/>
      <c r="BW1732" s="4"/>
      <c r="BX1732" s="4"/>
      <c r="BY1732" s="4"/>
      <c r="BZ1732" s="4"/>
      <c r="CA1732" s="4"/>
      <c r="CB1732" s="4"/>
      <c r="CC1732" s="4"/>
      <c r="CD1732" s="4"/>
      <c r="CE1732" s="4"/>
      <c r="CF1732" s="4"/>
      <c r="CG1732" s="4"/>
      <c r="CH1732" s="4"/>
      <c r="CI1732" s="4"/>
      <c r="CJ1732" s="4"/>
      <c r="CK1732" s="4"/>
      <c r="CL1732" s="4"/>
      <c r="CM1732" s="4"/>
      <c r="CN1732" s="4"/>
      <c r="CO1732" s="4"/>
      <c r="CP1732" s="4"/>
      <c r="CQ1732" s="4"/>
      <c r="CR1732" s="4"/>
      <c r="CS1732" s="4"/>
      <c r="CT1732" s="4"/>
      <c r="CU1732" s="4"/>
      <c r="CV1732" s="4"/>
      <c r="CW1732" s="4"/>
      <c r="CX1732" s="4"/>
      <c r="CY1732" s="4"/>
      <c r="CZ1732" s="4"/>
      <c r="DA1732" s="4"/>
      <c r="DB1732" s="4"/>
      <c r="DC1732" s="4"/>
      <c r="DD1732" s="4"/>
      <c r="DE1732" s="4"/>
      <c r="DF1732" s="4"/>
      <c r="DG1732" s="4"/>
      <c r="DH1732" s="4"/>
      <c r="DI1732" s="4"/>
      <c r="DJ1732" s="4"/>
      <c r="DK1732" s="4"/>
      <c r="DL1732" s="4"/>
      <c r="DM1732" s="4"/>
      <c r="DN1732" s="4"/>
      <c r="DO1732" s="4"/>
      <c r="DP1732" s="4"/>
      <c r="DQ1732" s="4"/>
      <c r="DR1732" s="4"/>
    </row>
    <row r="1733" spans="1:122" x14ac:dyDescent="0.25">
      <c r="A1733" s="2" t="s">
        <v>15</v>
      </c>
      <c r="B1733" s="2" t="str">
        <f>"FES1162769639"</f>
        <v>FES1162769639</v>
      </c>
      <c r="C1733" s="2" t="s">
        <v>1190</v>
      </c>
      <c r="D1733" s="2">
        <v>1</v>
      </c>
      <c r="E1733" s="2" t="str">
        <f>"2170756723"</f>
        <v>2170756723</v>
      </c>
      <c r="F1733" s="2" t="s">
        <v>17</v>
      </c>
      <c r="G1733" s="2" t="s">
        <v>18</v>
      </c>
      <c r="H1733" s="2" t="s">
        <v>18</v>
      </c>
      <c r="I1733" s="2" t="s">
        <v>459</v>
      </c>
      <c r="J1733" s="2" t="s">
        <v>1317</v>
      </c>
      <c r="K1733" s="2" t="s">
        <v>1266</v>
      </c>
      <c r="L1733" s="3">
        <v>0.43055555555555558</v>
      </c>
      <c r="M1733" s="2" t="s">
        <v>1251</v>
      </c>
      <c r="N1733" s="2" t="s">
        <v>500</v>
      </c>
      <c r="O1733" s="2"/>
      <c r="P1733" s="4"/>
      <c r="Q1733" s="4"/>
      <c r="R1733" s="4"/>
      <c r="S1733" s="4"/>
      <c r="T1733" s="4"/>
      <c r="U1733" s="4"/>
      <c r="V1733" s="4"/>
      <c r="W1733" s="4"/>
      <c r="X1733" s="4"/>
      <c r="Y1733" s="4"/>
      <c r="Z1733" s="4"/>
      <c r="AA1733" s="4"/>
      <c r="AB1733" s="4"/>
      <c r="AC1733" s="4"/>
      <c r="AD1733" s="4"/>
      <c r="AE1733" s="4"/>
      <c r="AF1733" s="4"/>
      <c r="AG1733" s="4"/>
      <c r="AH1733" s="4"/>
      <c r="AI1733" s="4"/>
      <c r="AJ1733" s="4"/>
      <c r="AK1733" s="4"/>
      <c r="AL1733" s="4"/>
      <c r="AM1733" s="4"/>
      <c r="AN1733" s="4"/>
      <c r="AO1733" s="4"/>
      <c r="AP1733" s="4"/>
      <c r="AQ1733" s="4"/>
      <c r="AR1733" s="4"/>
      <c r="AS1733" s="4"/>
      <c r="AT1733" s="4"/>
      <c r="AU1733" s="4"/>
      <c r="AV1733" s="4"/>
      <c r="AW1733" s="4"/>
      <c r="AX1733" s="4"/>
      <c r="AY1733" s="4"/>
      <c r="AZ1733" s="4"/>
      <c r="BA1733" s="4"/>
      <c r="BB1733" s="4"/>
      <c r="BC1733" s="4"/>
      <c r="BD1733" s="4"/>
      <c r="BE1733" s="4"/>
      <c r="BF1733" s="4"/>
      <c r="BG1733" s="4"/>
      <c r="BH1733" s="4"/>
      <c r="BI1733" s="4"/>
      <c r="BJ1733" s="4"/>
      <c r="BK1733" s="4"/>
      <c r="BL1733" s="4"/>
      <c r="BM1733" s="4"/>
      <c r="BN1733" s="4"/>
      <c r="BO1733" s="4"/>
      <c r="BP1733" s="4"/>
      <c r="BQ1733" s="4"/>
      <c r="BR1733" s="4"/>
      <c r="BS1733" s="4"/>
      <c r="BT1733" s="4"/>
      <c r="BU1733" s="4"/>
      <c r="BV1733" s="4"/>
      <c r="BW1733" s="4"/>
      <c r="BX1733" s="4"/>
      <c r="BY1733" s="4"/>
      <c r="BZ1733" s="4"/>
      <c r="CA1733" s="4"/>
      <c r="CB1733" s="4"/>
      <c r="CC1733" s="4"/>
      <c r="CD1733" s="4"/>
      <c r="CE1733" s="4"/>
      <c r="CF1733" s="4"/>
      <c r="CG1733" s="4"/>
      <c r="CH1733" s="4"/>
      <c r="CI1733" s="4"/>
      <c r="CJ1733" s="4"/>
      <c r="CK1733" s="4"/>
      <c r="CL1733" s="4"/>
      <c r="CM1733" s="4"/>
      <c r="CN1733" s="4"/>
      <c r="CO1733" s="4"/>
      <c r="CP1733" s="4"/>
      <c r="CQ1733" s="4"/>
      <c r="CR1733" s="4"/>
      <c r="CS1733" s="4"/>
      <c r="CT1733" s="4"/>
      <c r="CU1733" s="4"/>
      <c r="CV1733" s="4"/>
      <c r="CW1733" s="4"/>
      <c r="CX1733" s="4"/>
      <c r="CY1733" s="4"/>
      <c r="CZ1733" s="4"/>
      <c r="DA1733" s="4"/>
      <c r="DB1733" s="4"/>
      <c r="DC1733" s="4"/>
      <c r="DD1733" s="4"/>
      <c r="DE1733" s="4"/>
      <c r="DF1733" s="4"/>
      <c r="DG1733" s="4"/>
      <c r="DH1733" s="4"/>
      <c r="DI1733" s="4"/>
      <c r="DJ1733" s="4"/>
      <c r="DK1733" s="4"/>
      <c r="DL1733" s="4"/>
      <c r="DM1733" s="4"/>
      <c r="DN1733" s="4"/>
      <c r="DO1733" s="4"/>
      <c r="DP1733" s="4"/>
      <c r="DQ1733" s="4"/>
      <c r="DR1733" s="4"/>
    </row>
    <row r="1734" spans="1:122" s="13" customFormat="1" x14ac:dyDescent="0.25">
      <c r="A1734" s="5" t="s">
        <v>15</v>
      </c>
      <c r="B1734" s="5" t="str">
        <f>"FES1162769701"</f>
        <v>FES1162769701</v>
      </c>
      <c r="C1734" s="5" t="s">
        <v>1190</v>
      </c>
      <c r="D1734" s="5">
        <v>1</v>
      </c>
      <c r="E1734" s="5" t="str">
        <f>"2170756838"</f>
        <v>2170756838</v>
      </c>
      <c r="F1734" s="5" t="s">
        <v>17</v>
      </c>
      <c r="G1734" s="5" t="s">
        <v>18</v>
      </c>
      <c r="H1734" s="5" t="s">
        <v>484</v>
      </c>
      <c r="I1734" s="5" t="s">
        <v>675</v>
      </c>
      <c r="J1734" s="5" t="s">
        <v>1318</v>
      </c>
      <c r="K1734" s="5" t="s">
        <v>1353</v>
      </c>
      <c r="L1734" s="9">
        <v>0.43055555555555558</v>
      </c>
      <c r="M1734" s="5" t="s">
        <v>1813</v>
      </c>
      <c r="N1734" s="5" t="s">
        <v>500</v>
      </c>
      <c r="O1734" s="5"/>
      <c r="P1734" s="4"/>
      <c r="Q1734" s="4"/>
      <c r="R1734" s="4"/>
      <c r="S1734" s="4"/>
      <c r="T1734" s="4"/>
      <c r="U1734" s="4"/>
      <c r="V1734" s="4"/>
      <c r="W1734" s="4"/>
      <c r="X1734" s="4"/>
      <c r="Y1734" s="4"/>
      <c r="Z1734" s="4"/>
      <c r="AA1734" s="4"/>
      <c r="AB1734" s="4"/>
      <c r="AC1734" s="4"/>
      <c r="AD1734" s="4"/>
      <c r="AE1734" s="4"/>
      <c r="AF1734" s="4"/>
      <c r="AG1734" s="4"/>
      <c r="AH1734" s="4"/>
      <c r="AI1734" s="4"/>
      <c r="AJ1734" s="4"/>
      <c r="AK1734" s="4"/>
      <c r="AL1734" s="4"/>
      <c r="AM1734" s="4"/>
      <c r="AN1734" s="4"/>
      <c r="AO1734" s="4"/>
      <c r="AP1734" s="4"/>
      <c r="AQ1734" s="4"/>
      <c r="AR1734" s="4"/>
      <c r="AS1734" s="4"/>
      <c r="AT1734" s="4"/>
      <c r="AU1734" s="4"/>
      <c r="AV1734" s="4"/>
      <c r="AW1734" s="4"/>
      <c r="AX1734" s="4"/>
      <c r="AY1734" s="4"/>
      <c r="AZ1734" s="4"/>
      <c r="BA1734" s="4"/>
      <c r="BB1734" s="4"/>
      <c r="BC1734" s="4"/>
      <c r="BD1734" s="4"/>
      <c r="BE1734" s="4"/>
      <c r="BF1734" s="4"/>
      <c r="BG1734" s="4"/>
      <c r="BH1734" s="4"/>
      <c r="BI1734" s="4"/>
      <c r="BJ1734" s="4"/>
      <c r="BK1734" s="4"/>
      <c r="BL1734" s="4"/>
      <c r="BM1734" s="4"/>
      <c r="BN1734" s="4"/>
      <c r="BO1734" s="4"/>
      <c r="BP1734" s="4"/>
      <c r="BQ1734" s="4"/>
      <c r="BR1734" s="4"/>
      <c r="BS1734" s="4"/>
      <c r="BT1734" s="4"/>
      <c r="BU1734" s="4"/>
      <c r="BV1734" s="4"/>
      <c r="BW1734" s="4"/>
      <c r="BX1734" s="4"/>
      <c r="BY1734" s="4"/>
      <c r="BZ1734" s="4"/>
      <c r="CA1734" s="4"/>
      <c r="CB1734" s="4"/>
      <c r="CC1734" s="4"/>
      <c r="CD1734" s="4"/>
      <c r="CE1734" s="4"/>
      <c r="CF1734" s="4"/>
      <c r="CG1734" s="4"/>
      <c r="CH1734" s="4"/>
      <c r="CI1734" s="4"/>
      <c r="CJ1734" s="4"/>
      <c r="CK1734" s="4"/>
      <c r="CL1734" s="4"/>
      <c r="CM1734" s="4"/>
      <c r="CN1734" s="4"/>
      <c r="CO1734" s="4"/>
      <c r="CP1734" s="4"/>
      <c r="CQ1734" s="4"/>
      <c r="CR1734" s="4"/>
      <c r="CS1734" s="4"/>
      <c r="CT1734" s="4"/>
      <c r="CU1734" s="4"/>
      <c r="CV1734" s="4"/>
      <c r="CW1734" s="4"/>
      <c r="CX1734" s="4"/>
      <c r="CY1734" s="4"/>
      <c r="CZ1734" s="4"/>
      <c r="DA1734" s="4"/>
      <c r="DB1734" s="4"/>
      <c r="DC1734" s="4"/>
      <c r="DD1734" s="4"/>
      <c r="DE1734" s="4"/>
      <c r="DF1734" s="4"/>
      <c r="DG1734" s="4"/>
      <c r="DH1734" s="4"/>
      <c r="DI1734" s="4"/>
      <c r="DJ1734" s="4"/>
      <c r="DK1734" s="4"/>
      <c r="DL1734" s="4"/>
      <c r="DM1734" s="4"/>
      <c r="DN1734" s="4"/>
      <c r="DO1734" s="4"/>
      <c r="DP1734" s="4"/>
      <c r="DQ1734" s="4"/>
      <c r="DR1734" s="4"/>
    </row>
    <row r="1735" spans="1:122" x14ac:dyDescent="0.25">
      <c r="A1735" s="2" t="s">
        <v>15</v>
      </c>
      <c r="B1735" s="2" t="str">
        <f>"FES1162769993"</f>
        <v>FES1162769993</v>
      </c>
      <c r="C1735" s="2" t="s">
        <v>1190</v>
      </c>
      <c r="D1735" s="2">
        <v>1</v>
      </c>
      <c r="E1735" s="2" t="str">
        <f>"2170756592"</f>
        <v>2170756592</v>
      </c>
      <c r="F1735" s="2" t="s">
        <v>17</v>
      </c>
      <c r="G1735" s="2" t="s">
        <v>18</v>
      </c>
      <c r="H1735" s="2" t="s">
        <v>25</v>
      </c>
      <c r="I1735" s="2" t="s">
        <v>42</v>
      </c>
      <c r="J1735" s="2" t="s">
        <v>416</v>
      </c>
      <c r="K1735" s="2" t="s">
        <v>1266</v>
      </c>
      <c r="L1735" s="3">
        <v>0.47847222222222219</v>
      </c>
      <c r="M1735" s="2" t="s">
        <v>688</v>
      </c>
      <c r="N1735" s="2" t="s">
        <v>500</v>
      </c>
      <c r="O1735" s="2"/>
      <c r="P1735" s="4"/>
      <c r="Q1735" s="4"/>
      <c r="R1735" s="4"/>
      <c r="S1735" s="4"/>
      <c r="T1735" s="4"/>
      <c r="U1735" s="4"/>
      <c r="V1735" s="4"/>
      <c r="W1735" s="4"/>
      <c r="X1735" s="4"/>
      <c r="Y1735" s="4"/>
      <c r="Z1735" s="4"/>
      <c r="AA1735" s="4"/>
      <c r="AB1735" s="4"/>
      <c r="AC1735" s="4"/>
      <c r="AD1735" s="4"/>
      <c r="AE1735" s="4"/>
      <c r="AF1735" s="4"/>
      <c r="AG1735" s="4"/>
      <c r="AH1735" s="4"/>
      <c r="AI1735" s="4"/>
      <c r="AJ1735" s="4"/>
      <c r="AK1735" s="4"/>
      <c r="AL1735" s="4"/>
      <c r="AM1735" s="4"/>
      <c r="AN1735" s="4"/>
      <c r="AO1735" s="4"/>
      <c r="AP1735" s="4"/>
      <c r="AQ1735" s="4"/>
      <c r="AR1735" s="4"/>
      <c r="AS1735" s="4"/>
      <c r="AT1735" s="4"/>
      <c r="AU1735" s="4"/>
      <c r="AV1735" s="4"/>
      <c r="AW1735" s="4"/>
      <c r="AX1735" s="4"/>
      <c r="AY1735" s="4"/>
      <c r="AZ1735" s="4"/>
      <c r="BA1735" s="4"/>
      <c r="BB1735" s="4"/>
      <c r="BC1735" s="4"/>
      <c r="BD1735" s="4"/>
      <c r="BE1735" s="4"/>
      <c r="BF1735" s="4"/>
      <c r="BG1735" s="4"/>
      <c r="BH1735" s="4"/>
      <c r="BI1735" s="4"/>
      <c r="BJ1735" s="4"/>
      <c r="BK1735" s="4"/>
      <c r="BL1735" s="4"/>
      <c r="BM1735" s="4"/>
      <c r="BN1735" s="4"/>
      <c r="BO1735" s="4"/>
      <c r="BP1735" s="4"/>
      <c r="BQ1735" s="4"/>
      <c r="BR1735" s="4"/>
      <c r="BS1735" s="4"/>
      <c r="BT1735" s="4"/>
      <c r="BU1735" s="4"/>
      <c r="BV1735" s="4"/>
      <c r="BW1735" s="4"/>
      <c r="BX1735" s="4"/>
      <c r="BY1735" s="4"/>
      <c r="BZ1735" s="4"/>
      <c r="CA1735" s="4"/>
      <c r="CB1735" s="4"/>
      <c r="CC1735" s="4"/>
      <c r="CD1735" s="4"/>
      <c r="CE1735" s="4"/>
      <c r="CF1735" s="4"/>
      <c r="CG1735" s="4"/>
      <c r="CH1735" s="4"/>
      <c r="CI1735" s="4"/>
      <c r="CJ1735" s="4"/>
      <c r="CK1735" s="4"/>
      <c r="CL1735" s="4"/>
      <c r="CM1735" s="4"/>
      <c r="CN1735" s="4"/>
      <c r="CO1735" s="4"/>
      <c r="CP1735" s="4"/>
      <c r="CQ1735" s="4"/>
      <c r="CR1735" s="4"/>
      <c r="CS1735" s="4"/>
      <c r="CT1735" s="4"/>
      <c r="CU1735" s="4"/>
      <c r="CV1735" s="4"/>
      <c r="CW1735" s="4"/>
      <c r="CX1735" s="4"/>
      <c r="CY1735" s="4"/>
      <c r="CZ1735" s="4"/>
      <c r="DA1735" s="4"/>
      <c r="DB1735" s="4"/>
      <c r="DC1735" s="4"/>
      <c r="DD1735" s="4"/>
      <c r="DE1735" s="4"/>
      <c r="DF1735" s="4"/>
      <c r="DG1735" s="4"/>
      <c r="DH1735" s="4"/>
      <c r="DI1735" s="4"/>
      <c r="DJ1735" s="4"/>
      <c r="DK1735" s="4"/>
      <c r="DL1735" s="4"/>
      <c r="DM1735" s="4"/>
      <c r="DN1735" s="4"/>
      <c r="DO1735" s="4"/>
      <c r="DP1735" s="4"/>
      <c r="DQ1735" s="4"/>
      <c r="DR1735" s="4"/>
    </row>
    <row r="1736" spans="1:122" x14ac:dyDescent="0.25">
      <c r="A1736" s="2" t="s">
        <v>15</v>
      </c>
      <c r="B1736" s="2" t="str">
        <f>"FES1162769581"</f>
        <v>FES1162769581</v>
      </c>
      <c r="C1736" s="2" t="s">
        <v>1190</v>
      </c>
      <c r="D1736" s="2">
        <v>1</v>
      </c>
      <c r="E1736" s="2" t="str">
        <f>"2170756621"</f>
        <v>2170756621</v>
      </c>
      <c r="F1736" s="2" t="s">
        <v>17</v>
      </c>
      <c r="G1736" s="2" t="s">
        <v>18</v>
      </c>
      <c r="H1736" s="2" t="s">
        <v>19</v>
      </c>
      <c r="I1736" s="2" t="s">
        <v>269</v>
      </c>
      <c r="J1736" s="2" t="s">
        <v>270</v>
      </c>
      <c r="K1736" s="2" t="s">
        <v>1266</v>
      </c>
      <c r="L1736" s="3">
        <v>0.3430555555555555</v>
      </c>
      <c r="M1736" s="2" t="s">
        <v>271</v>
      </c>
      <c r="N1736" s="2" t="s">
        <v>500</v>
      </c>
      <c r="O1736" s="2"/>
      <c r="P1736" s="4"/>
      <c r="Q1736" s="4"/>
      <c r="R1736" s="4"/>
      <c r="S1736" s="4"/>
      <c r="T1736" s="4"/>
      <c r="U1736" s="4"/>
      <c r="V1736" s="4"/>
      <c r="W1736" s="4"/>
      <c r="X1736" s="4"/>
      <c r="Y1736" s="4"/>
      <c r="Z1736" s="4"/>
      <c r="AA1736" s="4"/>
      <c r="AB1736" s="4"/>
      <c r="AC1736" s="4"/>
      <c r="AD1736" s="4"/>
      <c r="AE1736" s="4"/>
      <c r="AF1736" s="4"/>
      <c r="AG1736" s="4"/>
      <c r="AH1736" s="4"/>
      <c r="AI1736" s="4"/>
      <c r="AJ1736" s="4"/>
      <c r="AK1736" s="4"/>
      <c r="AL1736" s="4"/>
      <c r="AM1736" s="4"/>
      <c r="AN1736" s="4"/>
      <c r="AO1736" s="4"/>
      <c r="AP1736" s="4"/>
      <c r="AQ1736" s="4"/>
      <c r="AR1736" s="4"/>
      <c r="AS1736" s="4"/>
      <c r="AT1736" s="4"/>
      <c r="AU1736" s="4"/>
      <c r="AV1736" s="4"/>
      <c r="AW1736" s="4"/>
      <c r="AX1736" s="4"/>
      <c r="AY1736" s="4"/>
      <c r="AZ1736" s="4"/>
      <c r="BA1736" s="4"/>
      <c r="BB1736" s="4"/>
      <c r="BC1736" s="4"/>
      <c r="BD1736" s="4"/>
      <c r="BE1736" s="4"/>
      <c r="BF1736" s="4"/>
      <c r="BG1736" s="4"/>
      <c r="BH1736" s="4"/>
      <c r="BI1736" s="4"/>
      <c r="BJ1736" s="4"/>
      <c r="BK1736" s="4"/>
      <c r="BL1736" s="4"/>
      <c r="BM1736" s="4"/>
      <c r="BN1736" s="4"/>
      <c r="BO1736" s="4"/>
      <c r="BP1736" s="4"/>
      <c r="BQ1736" s="4"/>
      <c r="BR1736" s="4"/>
      <c r="BS1736" s="4"/>
      <c r="BT1736" s="4"/>
      <c r="BU1736" s="4"/>
      <c r="BV1736" s="4"/>
      <c r="BW1736" s="4"/>
      <c r="BX1736" s="4"/>
      <c r="BY1736" s="4"/>
      <c r="BZ1736" s="4"/>
      <c r="CA1736" s="4"/>
      <c r="CB1736" s="4"/>
      <c r="CC1736" s="4"/>
      <c r="CD1736" s="4"/>
      <c r="CE1736" s="4"/>
      <c r="CF1736" s="4"/>
      <c r="CG1736" s="4"/>
      <c r="CH1736" s="4"/>
      <c r="CI1736" s="4"/>
      <c r="CJ1736" s="4"/>
      <c r="CK1736" s="4"/>
      <c r="CL1736" s="4"/>
      <c r="CM1736" s="4"/>
      <c r="CN1736" s="4"/>
      <c r="CO1736" s="4"/>
      <c r="CP1736" s="4"/>
      <c r="CQ1736" s="4"/>
      <c r="CR1736" s="4"/>
      <c r="CS1736" s="4"/>
      <c r="CT1736" s="4"/>
      <c r="CU1736" s="4"/>
      <c r="CV1736" s="4"/>
      <c r="CW1736" s="4"/>
      <c r="CX1736" s="4"/>
      <c r="CY1736" s="4"/>
      <c r="CZ1736" s="4"/>
      <c r="DA1736" s="4"/>
      <c r="DB1736" s="4"/>
      <c r="DC1736" s="4"/>
      <c r="DD1736" s="4"/>
      <c r="DE1736" s="4"/>
      <c r="DF1736" s="4"/>
      <c r="DG1736" s="4"/>
      <c r="DH1736" s="4"/>
      <c r="DI1736" s="4"/>
      <c r="DJ1736" s="4"/>
      <c r="DK1736" s="4"/>
      <c r="DL1736" s="4"/>
      <c r="DM1736" s="4"/>
      <c r="DN1736" s="4"/>
      <c r="DO1736" s="4"/>
      <c r="DP1736" s="4"/>
      <c r="DQ1736" s="4"/>
      <c r="DR1736" s="4"/>
    </row>
    <row r="1737" spans="1:122" x14ac:dyDescent="0.25">
      <c r="A1737" s="2" t="s">
        <v>15</v>
      </c>
      <c r="B1737" s="2" t="str">
        <f>"FES1162769988"</f>
        <v>FES1162769988</v>
      </c>
      <c r="C1737" s="2" t="s">
        <v>1190</v>
      </c>
      <c r="D1737" s="2">
        <v>1</v>
      </c>
      <c r="E1737" s="2" t="str">
        <f>"2170756219"</f>
        <v>2170756219</v>
      </c>
      <c r="F1737" s="2" t="s">
        <v>17</v>
      </c>
      <c r="G1737" s="2" t="s">
        <v>18</v>
      </c>
      <c r="H1737" s="2" t="s">
        <v>18</v>
      </c>
      <c r="I1737" s="2" t="s">
        <v>116</v>
      </c>
      <c r="J1737" s="2" t="s">
        <v>786</v>
      </c>
      <c r="K1737" s="2" t="s">
        <v>1266</v>
      </c>
      <c r="L1737" s="3">
        <v>0.43055555555555558</v>
      </c>
      <c r="M1737" s="2" t="s">
        <v>1386</v>
      </c>
      <c r="N1737" s="2" t="s">
        <v>500</v>
      </c>
      <c r="O1737" s="2"/>
      <c r="P1737" s="4"/>
      <c r="Q1737" s="4"/>
      <c r="R1737" s="4"/>
      <c r="S1737" s="4"/>
      <c r="T1737" s="4"/>
      <c r="U1737" s="4"/>
      <c r="V1737" s="4"/>
      <c r="W1737" s="4"/>
      <c r="X1737" s="4"/>
      <c r="Y1737" s="4"/>
      <c r="Z1737" s="4"/>
      <c r="AA1737" s="4"/>
      <c r="AB1737" s="4"/>
      <c r="AC1737" s="4"/>
      <c r="AD1737" s="4"/>
      <c r="AE1737" s="4"/>
      <c r="AF1737" s="4"/>
      <c r="AG1737" s="4"/>
      <c r="AH1737" s="4"/>
      <c r="AI1737" s="4"/>
      <c r="AJ1737" s="4"/>
      <c r="AK1737" s="4"/>
      <c r="AL1737" s="4"/>
      <c r="AM1737" s="4"/>
      <c r="AN1737" s="4"/>
      <c r="AO1737" s="4"/>
      <c r="AP1737" s="4"/>
      <c r="AQ1737" s="4"/>
      <c r="AR1737" s="4"/>
      <c r="AS1737" s="4"/>
      <c r="AT1737" s="4"/>
      <c r="AU1737" s="4"/>
      <c r="AV1737" s="4"/>
      <c r="AW1737" s="4"/>
      <c r="AX1737" s="4"/>
      <c r="AY1737" s="4"/>
      <c r="AZ1737" s="4"/>
      <c r="BA1737" s="4"/>
      <c r="BB1737" s="4"/>
      <c r="BC1737" s="4"/>
      <c r="BD1737" s="4"/>
      <c r="BE1737" s="4"/>
      <c r="BF1737" s="4"/>
      <c r="BG1737" s="4"/>
      <c r="BH1737" s="4"/>
      <c r="BI1737" s="4"/>
      <c r="BJ1737" s="4"/>
      <c r="BK1737" s="4"/>
      <c r="BL1737" s="4"/>
      <c r="BM1737" s="4"/>
      <c r="BN1737" s="4"/>
      <c r="BO1737" s="4"/>
      <c r="BP1737" s="4"/>
      <c r="BQ1737" s="4"/>
      <c r="BR1737" s="4"/>
      <c r="BS1737" s="4"/>
      <c r="BT1737" s="4"/>
      <c r="BU1737" s="4"/>
      <c r="BV1737" s="4"/>
      <c r="BW1737" s="4"/>
      <c r="BX1737" s="4"/>
      <c r="BY1737" s="4"/>
      <c r="BZ1737" s="4"/>
      <c r="CA1737" s="4"/>
      <c r="CB1737" s="4"/>
      <c r="CC1737" s="4"/>
      <c r="CD1737" s="4"/>
      <c r="CE1737" s="4"/>
      <c r="CF1737" s="4"/>
      <c r="CG1737" s="4"/>
      <c r="CH1737" s="4"/>
      <c r="CI1737" s="4"/>
      <c r="CJ1737" s="4"/>
      <c r="CK1737" s="4"/>
      <c r="CL1737" s="4"/>
      <c r="CM1737" s="4"/>
      <c r="CN1737" s="4"/>
      <c r="CO1737" s="4"/>
      <c r="CP1737" s="4"/>
      <c r="CQ1737" s="4"/>
      <c r="CR1737" s="4"/>
      <c r="CS1737" s="4"/>
      <c r="CT1737" s="4"/>
      <c r="CU1737" s="4"/>
      <c r="CV1737" s="4"/>
      <c r="CW1737" s="4"/>
      <c r="CX1737" s="4"/>
      <c r="CY1737" s="4"/>
      <c r="CZ1737" s="4"/>
      <c r="DA1737" s="4"/>
      <c r="DB1737" s="4"/>
      <c r="DC1737" s="4"/>
      <c r="DD1737" s="4"/>
      <c r="DE1737" s="4"/>
      <c r="DF1737" s="4"/>
      <c r="DG1737" s="4"/>
      <c r="DH1737" s="4"/>
      <c r="DI1737" s="4"/>
      <c r="DJ1737" s="4"/>
      <c r="DK1737" s="4"/>
      <c r="DL1737" s="4"/>
      <c r="DM1737" s="4"/>
      <c r="DN1737" s="4"/>
      <c r="DO1737" s="4"/>
      <c r="DP1737" s="4"/>
      <c r="DQ1737" s="4"/>
      <c r="DR1737" s="4"/>
    </row>
    <row r="1738" spans="1:122" x14ac:dyDescent="0.25">
      <c r="A1738" s="2" t="s">
        <v>15</v>
      </c>
      <c r="B1738" s="2" t="str">
        <f>"FES1162769812"</f>
        <v>FES1162769812</v>
      </c>
      <c r="C1738" s="2" t="s">
        <v>1190</v>
      </c>
      <c r="D1738" s="2">
        <v>1</v>
      </c>
      <c r="E1738" s="2" t="str">
        <f>"2170757065"</f>
        <v>2170757065</v>
      </c>
      <c r="F1738" s="2" t="s">
        <v>17</v>
      </c>
      <c r="G1738" s="2" t="s">
        <v>18</v>
      </c>
      <c r="H1738" s="2" t="s">
        <v>18</v>
      </c>
      <c r="I1738" s="2" t="s">
        <v>82</v>
      </c>
      <c r="J1738" s="2" t="s">
        <v>83</v>
      </c>
      <c r="K1738" s="2" t="s">
        <v>1266</v>
      </c>
      <c r="L1738" s="3">
        <v>0.35069444444444442</v>
      </c>
      <c r="M1738" s="2" t="s">
        <v>1367</v>
      </c>
      <c r="N1738" s="2" t="s">
        <v>500</v>
      </c>
      <c r="O1738" s="2"/>
      <c r="P1738" s="4"/>
      <c r="Q1738" s="4"/>
      <c r="R1738" s="4"/>
      <c r="S1738" s="4"/>
      <c r="T1738" s="4"/>
      <c r="U1738" s="4"/>
      <c r="V1738" s="4"/>
      <c r="W1738" s="4"/>
      <c r="X1738" s="4"/>
      <c r="Y1738" s="4"/>
      <c r="Z1738" s="4"/>
      <c r="AA1738" s="4"/>
      <c r="AB1738" s="4"/>
      <c r="AC1738" s="4"/>
      <c r="AD1738" s="4"/>
      <c r="AE1738" s="4"/>
      <c r="AF1738" s="4"/>
      <c r="AG1738" s="4"/>
      <c r="AH1738" s="4"/>
      <c r="AI1738" s="4"/>
      <c r="AJ1738" s="4"/>
      <c r="AK1738" s="4"/>
      <c r="AL1738" s="4"/>
      <c r="AM1738" s="4"/>
      <c r="AN1738" s="4"/>
      <c r="AO1738" s="4"/>
      <c r="AP1738" s="4"/>
      <c r="AQ1738" s="4"/>
      <c r="AR1738" s="4"/>
      <c r="AS1738" s="4"/>
      <c r="AT1738" s="4"/>
      <c r="AU1738" s="4"/>
      <c r="AV1738" s="4"/>
      <c r="AW1738" s="4"/>
      <c r="AX1738" s="4"/>
      <c r="AY1738" s="4"/>
      <c r="AZ1738" s="4"/>
      <c r="BA1738" s="4"/>
      <c r="BB1738" s="4"/>
      <c r="BC1738" s="4"/>
      <c r="BD1738" s="4"/>
      <c r="BE1738" s="4"/>
      <c r="BF1738" s="4"/>
      <c r="BG1738" s="4"/>
      <c r="BH1738" s="4"/>
      <c r="BI1738" s="4"/>
      <c r="BJ1738" s="4"/>
      <c r="BK1738" s="4"/>
      <c r="BL1738" s="4"/>
      <c r="BM1738" s="4"/>
      <c r="BN1738" s="4"/>
      <c r="BO1738" s="4"/>
      <c r="BP1738" s="4"/>
      <c r="BQ1738" s="4"/>
      <c r="BR1738" s="4"/>
      <c r="BS1738" s="4"/>
      <c r="BT1738" s="4"/>
      <c r="BU1738" s="4"/>
      <c r="BV1738" s="4"/>
      <c r="BW1738" s="4"/>
      <c r="BX1738" s="4"/>
      <c r="BY1738" s="4"/>
      <c r="BZ1738" s="4"/>
      <c r="CA1738" s="4"/>
      <c r="CB1738" s="4"/>
      <c r="CC1738" s="4"/>
      <c r="CD1738" s="4"/>
      <c r="CE1738" s="4"/>
      <c r="CF1738" s="4"/>
      <c r="CG1738" s="4"/>
      <c r="CH1738" s="4"/>
      <c r="CI1738" s="4"/>
      <c r="CJ1738" s="4"/>
      <c r="CK1738" s="4"/>
      <c r="CL1738" s="4"/>
      <c r="CM1738" s="4"/>
      <c r="CN1738" s="4"/>
      <c r="CO1738" s="4"/>
      <c r="CP1738" s="4"/>
      <c r="CQ1738" s="4"/>
      <c r="CR1738" s="4"/>
      <c r="CS1738" s="4"/>
      <c r="CT1738" s="4"/>
      <c r="CU1738" s="4"/>
      <c r="CV1738" s="4"/>
      <c r="CW1738" s="4"/>
      <c r="CX1738" s="4"/>
      <c r="CY1738" s="4"/>
      <c r="CZ1738" s="4"/>
      <c r="DA1738" s="4"/>
      <c r="DB1738" s="4"/>
      <c r="DC1738" s="4"/>
      <c r="DD1738" s="4"/>
      <c r="DE1738" s="4"/>
      <c r="DF1738" s="4"/>
      <c r="DG1738" s="4"/>
      <c r="DH1738" s="4"/>
      <c r="DI1738" s="4"/>
      <c r="DJ1738" s="4"/>
      <c r="DK1738" s="4"/>
      <c r="DL1738" s="4"/>
      <c r="DM1738" s="4"/>
      <c r="DN1738" s="4"/>
      <c r="DO1738" s="4"/>
      <c r="DP1738" s="4"/>
      <c r="DQ1738" s="4"/>
      <c r="DR1738" s="4"/>
    </row>
    <row r="1739" spans="1:122" x14ac:dyDescent="0.25">
      <c r="A1739" s="2" t="s">
        <v>15</v>
      </c>
      <c r="B1739" s="2" t="str">
        <f>"FES1162769888"</f>
        <v>FES1162769888</v>
      </c>
      <c r="C1739" s="2" t="s">
        <v>1190</v>
      </c>
      <c r="D1739" s="2">
        <v>1</v>
      </c>
      <c r="E1739" s="2" t="str">
        <f>"2170757189"</f>
        <v>2170757189</v>
      </c>
      <c r="F1739" s="2" t="s">
        <v>17</v>
      </c>
      <c r="G1739" s="2" t="s">
        <v>18</v>
      </c>
      <c r="H1739" s="2" t="s">
        <v>18</v>
      </c>
      <c r="I1739" s="2" t="s">
        <v>57</v>
      </c>
      <c r="J1739" s="2" t="s">
        <v>1319</v>
      </c>
      <c r="K1739" s="2" t="s">
        <v>1266</v>
      </c>
      <c r="L1739" s="3">
        <v>0.31875000000000003</v>
      </c>
      <c r="M1739" s="2" t="s">
        <v>1387</v>
      </c>
      <c r="N1739" s="2" t="s">
        <v>500</v>
      </c>
      <c r="O1739" s="2"/>
      <c r="P1739" s="4"/>
      <c r="Q1739" s="4"/>
      <c r="R1739" s="4"/>
      <c r="S1739" s="4"/>
      <c r="T1739" s="4"/>
      <c r="U1739" s="4"/>
      <c r="V1739" s="4"/>
      <c r="W1739" s="4"/>
      <c r="X1739" s="4"/>
      <c r="Y1739" s="4"/>
      <c r="Z1739" s="4"/>
      <c r="AA1739" s="4"/>
      <c r="AB1739" s="4"/>
      <c r="AC1739" s="4"/>
      <c r="AD1739" s="4"/>
      <c r="AE1739" s="4"/>
      <c r="AF1739" s="4"/>
      <c r="AG1739" s="4"/>
      <c r="AH1739" s="4"/>
      <c r="AI1739" s="4"/>
      <c r="AJ1739" s="4"/>
      <c r="AK1739" s="4"/>
      <c r="AL1739" s="4"/>
      <c r="AM1739" s="4"/>
      <c r="AN1739" s="4"/>
      <c r="AO1739" s="4"/>
      <c r="AP1739" s="4"/>
      <c r="AQ1739" s="4"/>
      <c r="AR1739" s="4"/>
      <c r="AS1739" s="4"/>
      <c r="AT1739" s="4"/>
      <c r="AU1739" s="4"/>
      <c r="AV1739" s="4"/>
      <c r="AW1739" s="4"/>
      <c r="AX1739" s="4"/>
      <c r="AY1739" s="4"/>
      <c r="AZ1739" s="4"/>
      <c r="BA1739" s="4"/>
      <c r="BB1739" s="4"/>
      <c r="BC1739" s="4"/>
      <c r="BD1739" s="4"/>
      <c r="BE1739" s="4"/>
      <c r="BF1739" s="4"/>
      <c r="BG1739" s="4"/>
      <c r="BH1739" s="4"/>
      <c r="BI1739" s="4"/>
      <c r="BJ1739" s="4"/>
      <c r="BK1739" s="4"/>
      <c r="BL1739" s="4"/>
      <c r="BM1739" s="4"/>
      <c r="BN1739" s="4"/>
      <c r="BO1739" s="4"/>
      <c r="BP1739" s="4"/>
      <c r="BQ1739" s="4"/>
      <c r="BR1739" s="4"/>
      <c r="BS1739" s="4"/>
      <c r="BT1739" s="4"/>
      <c r="BU1739" s="4"/>
      <c r="BV1739" s="4"/>
      <c r="BW1739" s="4"/>
      <c r="BX1739" s="4"/>
      <c r="BY1739" s="4"/>
      <c r="BZ1739" s="4"/>
      <c r="CA1739" s="4"/>
      <c r="CB1739" s="4"/>
      <c r="CC1739" s="4"/>
      <c r="CD1739" s="4"/>
      <c r="CE1739" s="4"/>
      <c r="CF1739" s="4"/>
      <c r="CG1739" s="4"/>
      <c r="CH1739" s="4"/>
      <c r="CI1739" s="4"/>
      <c r="CJ1739" s="4"/>
      <c r="CK1739" s="4"/>
      <c r="CL1739" s="4"/>
      <c r="CM1739" s="4"/>
      <c r="CN1739" s="4"/>
      <c r="CO1739" s="4"/>
      <c r="CP1739" s="4"/>
      <c r="CQ1739" s="4"/>
      <c r="CR1739" s="4"/>
      <c r="CS1739" s="4"/>
      <c r="CT1739" s="4"/>
      <c r="CU1739" s="4"/>
      <c r="CV1739" s="4"/>
      <c r="CW1739" s="4"/>
      <c r="CX1739" s="4"/>
      <c r="CY1739" s="4"/>
      <c r="CZ1739" s="4"/>
      <c r="DA1739" s="4"/>
      <c r="DB1739" s="4"/>
      <c r="DC1739" s="4"/>
      <c r="DD1739" s="4"/>
      <c r="DE1739" s="4"/>
      <c r="DF1739" s="4"/>
      <c r="DG1739" s="4"/>
      <c r="DH1739" s="4"/>
      <c r="DI1739" s="4"/>
      <c r="DJ1739" s="4"/>
      <c r="DK1739" s="4"/>
      <c r="DL1739" s="4"/>
      <c r="DM1739" s="4"/>
      <c r="DN1739" s="4"/>
      <c r="DO1739" s="4"/>
      <c r="DP1739" s="4"/>
      <c r="DQ1739" s="4"/>
      <c r="DR1739" s="4"/>
    </row>
    <row r="1740" spans="1:122" x14ac:dyDescent="0.25">
      <c r="A1740" s="2" t="s">
        <v>15</v>
      </c>
      <c r="B1740" s="2" t="str">
        <f>"FES1162769563"</f>
        <v>FES1162769563</v>
      </c>
      <c r="C1740" s="2" t="s">
        <v>1190</v>
      </c>
      <c r="D1740" s="2">
        <v>1</v>
      </c>
      <c r="E1740" s="2" t="str">
        <f>"2170756589"</f>
        <v>2170756589</v>
      </c>
      <c r="F1740" s="2" t="s">
        <v>17</v>
      </c>
      <c r="G1740" s="2" t="s">
        <v>18</v>
      </c>
      <c r="H1740" s="2" t="s">
        <v>18</v>
      </c>
      <c r="I1740" s="2" t="s">
        <v>52</v>
      </c>
      <c r="J1740" s="2" t="s">
        <v>466</v>
      </c>
      <c r="K1740" s="2" t="s">
        <v>1266</v>
      </c>
      <c r="L1740" s="3">
        <v>0.40972222222222227</v>
      </c>
      <c r="M1740" s="2" t="s">
        <v>991</v>
      </c>
      <c r="N1740" s="2" t="s">
        <v>500</v>
      </c>
      <c r="O1740" s="2"/>
      <c r="P1740" s="4"/>
      <c r="Q1740" s="4"/>
      <c r="R1740" s="4"/>
      <c r="S1740" s="4"/>
      <c r="T1740" s="4"/>
      <c r="U1740" s="4"/>
      <c r="V1740" s="4"/>
      <c r="W1740" s="4"/>
      <c r="X1740" s="4"/>
      <c r="Y1740" s="4"/>
      <c r="Z1740" s="4"/>
      <c r="AA1740" s="4"/>
      <c r="AB1740" s="4"/>
      <c r="AC1740" s="4"/>
      <c r="AD1740" s="4"/>
      <c r="AE1740" s="4"/>
      <c r="AF1740" s="4"/>
      <c r="AG1740" s="4"/>
      <c r="AH1740" s="4"/>
      <c r="AI1740" s="4"/>
      <c r="AJ1740" s="4"/>
      <c r="AK1740" s="4"/>
      <c r="AL1740" s="4"/>
      <c r="AM1740" s="4"/>
      <c r="AN1740" s="4"/>
      <c r="AO1740" s="4"/>
      <c r="AP1740" s="4"/>
      <c r="AQ1740" s="4"/>
      <c r="AR1740" s="4"/>
      <c r="AS1740" s="4"/>
      <c r="AT1740" s="4"/>
      <c r="AU1740" s="4"/>
      <c r="AV1740" s="4"/>
      <c r="AW1740" s="4"/>
      <c r="AX1740" s="4"/>
      <c r="AY1740" s="4"/>
      <c r="AZ1740" s="4"/>
      <c r="BA1740" s="4"/>
      <c r="BB1740" s="4"/>
      <c r="BC1740" s="4"/>
      <c r="BD1740" s="4"/>
      <c r="BE1740" s="4"/>
      <c r="BF1740" s="4"/>
      <c r="BG1740" s="4"/>
      <c r="BH1740" s="4"/>
      <c r="BI1740" s="4"/>
      <c r="BJ1740" s="4"/>
      <c r="BK1740" s="4"/>
      <c r="BL1740" s="4"/>
      <c r="BM1740" s="4"/>
      <c r="BN1740" s="4"/>
      <c r="BO1740" s="4"/>
      <c r="BP1740" s="4"/>
      <c r="BQ1740" s="4"/>
      <c r="BR1740" s="4"/>
      <c r="BS1740" s="4"/>
      <c r="BT1740" s="4"/>
      <c r="BU1740" s="4"/>
      <c r="BV1740" s="4"/>
      <c r="BW1740" s="4"/>
      <c r="BX1740" s="4"/>
      <c r="BY1740" s="4"/>
      <c r="BZ1740" s="4"/>
      <c r="CA1740" s="4"/>
      <c r="CB1740" s="4"/>
      <c r="CC1740" s="4"/>
      <c r="CD1740" s="4"/>
      <c r="CE1740" s="4"/>
      <c r="CF1740" s="4"/>
      <c r="CG1740" s="4"/>
      <c r="CH1740" s="4"/>
      <c r="CI1740" s="4"/>
      <c r="CJ1740" s="4"/>
      <c r="CK1740" s="4"/>
      <c r="CL1740" s="4"/>
      <c r="CM1740" s="4"/>
      <c r="CN1740" s="4"/>
      <c r="CO1740" s="4"/>
      <c r="CP1740" s="4"/>
      <c r="CQ1740" s="4"/>
      <c r="CR1740" s="4"/>
      <c r="CS1740" s="4"/>
      <c r="CT1740" s="4"/>
      <c r="CU1740" s="4"/>
      <c r="CV1740" s="4"/>
      <c r="CW1740" s="4"/>
      <c r="CX1740" s="4"/>
      <c r="CY1740" s="4"/>
      <c r="CZ1740" s="4"/>
      <c r="DA1740" s="4"/>
      <c r="DB1740" s="4"/>
      <c r="DC1740" s="4"/>
      <c r="DD1740" s="4"/>
      <c r="DE1740" s="4"/>
      <c r="DF1740" s="4"/>
      <c r="DG1740" s="4"/>
      <c r="DH1740" s="4"/>
      <c r="DI1740" s="4"/>
      <c r="DJ1740" s="4"/>
      <c r="DK1740" s="4"/>
      <c r="DL1740" s="4"/>
      <c r="DM1740" s="4"/>
      <c r="DN1740" s="4"/>
      <c r="DO1740" s="4"/>
      <c r="DP1740" s="4"/>
      <c r="DQ1740" s="4"/>
      <c r="DR1740" s="4"/>
    </row>
    <row r="1741" spans="1:122" x14ac:dyDescent="0.25">
      <c r="A1741" s="2" t="s">
        <v>15</v>
      </c>
      <c r="B1741" s="2" t="str">
        <f>"FES1162769750"</f>
        <v>FES1162769750</v>
      </c>
      <c r="C1741" s="2" t="s">
        <v>1190</v>
      </c>
      <c r="D1741" s="2">
        <v>1</v>
      </c>
      <c r="E1741" s="2" t="str">
        <f>"2170756951"</f>
        <v>2170756951</v>
      </c>
      <c r="F1741" s="2" t="s">
        <v>17</v>
      </c>
      <c r="G1741" s="2" t="s">
        <v>18</v>
      </c>
      <c r="H1741" s="2" t="s">
        <v>18</v>
      </c>
      <c r="I1741" s="2" t="s">
        <v>63</v>
      </c>
      <c r="J1741" s="2" t="s">
        <v>93</v>
      </c>
      <c r="K1741" s="2" t="s">
        <v>1266</v>
      </c>
      <c r="L1741" s="3">
        <v>0.35555555555555557</v>
      </c>
      <c r="M1741" s="2" t="s">
        <v>736</v>
      </c>
      <c r="N1741" s="2" t="s">
        <v>500</v>
      </c>
      <c r="O1741" s="2"/>
      <c r="P1741" s="4"/>
      <c r="Q1741" s="4"/>
      <c r="R1741" s="4"/>
      <c r="S1741" s="4"/>
      <c r="T1741" s="4"/>
      <c r="U1741" s="4"/>
      <c r="V1741" s="4"/>
      <c r="W1741" s="4"/>
      <c r="X1741" s="4"/>
      <c r="Y1741" s="4"/>
      <c r="Z1741" s="4"/>
      <c r="AA1741" s="4"/>
      <c r="AB1741" s="4"/>
      <c r="AC1741" s="4"/>
      <c r="AD1741" s="4"/>
      <c r="AE1741" s="4"/>
      <c r="AF1741" s="4"/>
      <c r="AG1741" s="4"/>
      <c r="AH1741" s="4"/>
      <c r="AI1741" s="4"/>
      <c r="AJ1741" s="4"/>
      <c r="AK1741" s="4"/>
      <c r="AL1741" s="4"/>
      <c r="AM1741" s="4"/>
      <c r="AN1741" s="4"/>
      <c r="AO1741" s="4"/>
      <c r="AP1741" s="4"/>
      <c r="AQ1741" s="4"/>
      <c r="AR1741" s="4"/>
      <c r="AS1741" s="4"/>
      <c r="AT1741" s="4"/>
      <c r="AU1741" s="4"/>
      <c r="AV1741" s="4"/>
      <c r="AW1741" s="4"/>
      <c r="AX1741" s="4"/>
      <c r="AY1741" s="4"/>
      <c r="AZ1741" s="4"/>
      <c r="BA1741" s="4"/>
      <c r="BB1741" s="4"/>
      <c r="BC1741" s="4"/>
      <c r="BD1741" s="4"/>
      <c r="BE1741" s="4"/>
      <c r="BF1741" s="4"/>
      <c r="BG1741" s="4"/>
      <c r="BH1741" s="4"/>
      <c r="BI1741" s="4"/>
      <c r="BJ1741" s="4"/>
      <c r="BK1741" s="4"/>
      <c r="BL1741" s="4"/>
      <c r="BM1741" s="4"/>
      <c r="BN1741" s="4"/>
      <c r="BO1741" s="4"/>
      <c r="BP1741" s="4"/>
      <c r="BQ1741" s="4"/>
      <c r="BR1741" s="4"/>
      <c r="BS1741" s="4"/>
      <c r="BT1741" s="4"/>
      <c r="BU1741" s="4"/>
      <c r="BV1741" s="4"/>
      <c r="BW1741" s="4"/>
      <c r="BX1741" s="4"/>
      <c r="BY1741" s="4"/>
      <c r="BZ1741" s="4"/>
      <c r="CA1741" s="4"/>
      <c r="CB1741" s="4"/>
      <c r="CC1741" s="4"/>
      <c r="CD1741" s="4"/>
      <c r="CE1741" s="4"/>
      <c r="CF1741" s="4"/>
      <c r="CG1741" s="4"/>
      <c r="CH1741" s="4"/>
      <c r="CI1741" s="4"/>
      <c r="CJ1741" s="4"/>
      <c r="CK1741" s="4"/>
      <c r="CL1741" s="4"/>
      <c r="CM1741" s="4"/>
      <c r="CN1741" s="4"/>
      <c r="CO1741" s="4"/>
      <c r="CP1741" s="4"/>
      <c r="CQ1741" s="4"/>
      <c r="CR1741" s="4"/>
      <c r="CS1741" s="4"/>
      <c r="CT1741" s="4"/>
      <c r="CU1741" s="4"/>
      <c r="CV1741" s="4"/>
      <c r="CW1741" s="4"/>
      <c r="CX1741" s="4"/>
      <c r="CY1741" s="4"/>
      <c r="CZ1741" s="4"/>
      <c r="DA1741" s="4"/>
      <c r="DB1741" s="4"/>
      <c r="DC1741" s="4"/>
      <c r="DD1741" s="4"/>
      <c r="DE1741" s="4"/>
      <c r="DF1741" s="4"/>
      <c r="DG1741" s="4"/>
      <c r="DH1741" s="4"/>
      <c r="DI1741" s="4"/>
      <c r="DJ1741" s="4"/>
      <c r="DK1741" s="4"/>
      <c r="DL1741" s="4"/>
      <c r="DM1741" s="4"/>
      <c r="DN1741" s="4"/>
      <c r="DO1741" s="4"/>
      <c r="DP1741" s="4"/>
      <c r="DQ1741" s="4"/>
      <c r="DR1741" s="4"/>
    </row>
    <row r="1742" spans="1:122" x14ac:dyDescent="0.25">
      <c r="A1742" s="2" t="s">
        <v>15</v>
      </c>
      <c r="B1742" s="2" t="str">
        <f>"FES1162769539"</f>
        <v>FES1162769539</v>
      </c>
      <c r="C1742" s="2" t="s">
        <v>1190</v>
      </c>
      <c r="D1742" s="2">
        <v>1</v>
      </c>
      <c r="E1742" s="2" t="str">
        <f>"2170756219"</f>
        <v>2170756219</v>
      </c>
      <c r="F1742" s="2" t="s">
        <v>17</v>
      </c>
      <c r="G1742" s="2" t="s">
        <v>18</v>
      </c>
      <c r="H1742" s="2" t="s">
        <v>18</v>
      </c>
      <c r="I1742" s="2" t="s">
        <v>116</v>
      </c>
      <c r="J1742" s="2" t="s">
        <v>786</v>
      </c>
      <c r="K1742" s="2" t="s">
        <v>1266</v>
      </c>
      <c r="L1742" s="3">
        <v>0.43055555555555558</v>
      </c>
      <c r="M1742" s="2" t="s">
        <v>1388</v>
      </c>
      <c r="N1742" s="2" t="s">
        <v>500</v>
      </c>
      <c r="O1742" s="2"/>
      <c r="P1742" s="4"/>
      <c r="Q1742" s="4"/>
      <c r="R1742" s="4"/>
      <c r="S1742" s="4"/>
      <c r="T1742" s="4"/>
      <c r="U1742" s="4"/>
      <c r="V1742" s="4"/>
      <c r="W1742" s="4"/>
      <c r="X1742" s="4"/>
      <c r="Y1742" s="4"/>
      <c r="Z1742" s="4"/>
      <c r="AA1742" s="4"/>
      <c r="AB1742" s="4"/>
      <c r="AC1742" s="4"/>
      <c r="AD1742" s="4"/>
      <c r="AE1742" s="4"/>
      <c r="AF1742" s="4"/>
      <c r="AG1742" s="4"/>
      <c r="AH1742" s="4"/>
      <c r="AI1742" s="4"/>
      <c r="AJ1742" s="4"/>
      <c r="AK1742" s="4"/>
      <c r="AL1742" s="4"/>
      <c r="AM1742" s="4"/>
      <c r="AN1742" s="4"/>
      <c r="AO1742" s="4"/>
      <c r="AP1742" s="4"/>
      <c r="AQ1742" s="4"/>
      <c r="AR1742" s="4"/>
      <c r="AS1742" s="4"/>
      <c r="AT1742" s="4"/>
      <c r="AU1742" s="4"/>
      <c r="AV1742" s="4"/>
      <c r="AW1742" s="4"/>
      <c r="AX1742" s="4"/>
      <c r="AY1742" s="4"/>
      <c r="AZ1742" s="4"/>
      <c r="BA1742" s="4"/>
      <c r="BB1742" s="4"/>
      <c r="BC1742" s="4"/>
      <c r="BD1742" s="4"/>
      <c r="BE1742" s="4"/>
      <c r="BF1742" s="4"/>
      <c r="BG1742" s="4"/>
      <c r="BH1742" s="4"/>
      <c r="BI1742" s="4"/>
      <c r="BJ1742" s="4"/>
      <c r="BK1742" s="4"/>
      <c r="BL1742" s="4"/>
      <c r="BM1742" s="4"/>
      <c r="BN1742" s="4"/>
      <c r="BO1742" s="4"/>
      <c r="BP1742" s="4"/>
      <c r="BQ1742" s="4"/>
      <c r="BR1742" s="4"/>
      <c r="BS1742" s="4"/>
      <c r="BT1742" s="4"/>
      <c r="BU1742" s="4"/>
      <c r="BV1742" s="4"/>
      <c r="BW1742" s="4"/>
      <c r="BX1742" s="4"/>
      <c r="BY1742" s="4"/>
      <c r="BZ1742" s="4"/>
      <c r="CA1742" s="4"/>
      <c r="CB1742" s="4"/>
      <c r="CC1742" s="4"/>
      <c r="CD1742" s="4"/>
      <c r="CE1742" s="4"/>
      <c r="CF1742" s="4"/>
      <c r="CG1742" s="4"/>
      <c r="CH1742" s="4"/>
      <c r="CI1742" s="4"/>
      <c r="CJ1742" s="4"/>
      <c r="CK1742" s="4"/>
      <c r="CL1742" s="4"/>
      <c r="CM1742" s="4"/>
      <c r="CN1742" s="4"/>
      <c r="CO1742" s="4"/>
      <c r="CP1742" s="4"/>
      <c r="CQ1742" s="4"/>
      <c r="CR1742" s="4"/>
      <c r="CS1742" s="4"/>
      <c r="CT1742" s="4"/>
      <c r="CU1742" s="4"/>
      <c r="CV1742" s="4"/>
      <c r="CW1742" s="4"/>
      <c r="CX1742" s="4"/>
      <c r="CY1742" s="4"/>
      <c r="CZ1742" s="4"/>
      <c r="DA1742" s="4"/>
      <c r="DB1742" s="4"/>
      <c r="DC1742" s="4"/>
      <c r="DD1742" s="4"/>
      <c r="DE1742" s="4"/>
      <c r="DF1742" s="4"/>
      <c r="DG1742" s="4"/>
      <c r="DH1742" s="4"/>
      <c r="DI1742" s="4"/>
      <c r="DJ1742" s="4"/>
      <c r="DK1742" s="4"/>
      <c r="DL1742" s="4"/>
      <c r="DM1742" s="4"/>
      <c r="DN1742" s="4"/>
      <c r="DO1742" s="4"/>
      <c r="DP1742" s="4"/>
      <c r="DQ1742" s="4"/>
      <c r="DR1742" s="4"/>
    </row>
    <row r="1743" spans="1:122" x14ac:dyDescent="0.25">
      <c r="A1743" s="2" t="s">
        <v>15</v>
      </c>
      <c r="B1743" s="2" t="str">
        <f>"FES1162769633"</f>
        <v>FES1162769633</v>
      </c>
      <c r="C1743" s="2" t="s">
        <v>1190</v>
      </c>
      <c r="D1743" s="2">
        <v>1</v>
      </c>
      <c r="E1743" s="2" t="str">
        <f>"2170756712"</f>
        <v>2170756712</v>
      </c>
      <c r="F1743" s="2" t="s">
        <v>17</v>
      </c>
      <c r="G1743" s="2" t="s">
        <v>18</v>
      </c>
      <c r="H1743" s="2" t="s">
        <v>88</v>
      </c>
      <c r="I1743" s="2" t="s">
        <v>89</v>
      </c>
      <c r="J1743" s="2" t="s">
        <v>869</v>
      </c>
      <c r="K1743" s="2" t="s">
        <v>1266</v>
      </c>
      <c r="L1743" s="3">
        <v>0.4694444444444445</v>
      </c>
      <c r="M1743" s="2" t="s">
        <v>1389</v>
      </c>
      <c r="N1743" s="2" t="s">
        <v>500</v>
      </c>
      <c r="O1743" s="2"/>
      <c r="P1743" s="4"/>
      <c r="Q1743" s="4"/>
      <c r="R1743" s="4"/>
      <c r="S1743" s="4"/>
      <c r="T1743" s="4"/>
      <c r="U1743" s="4"/>
      <c r="V1743" s="4"/>
      <c r="W1743" s="4"/>
      <c r="X1743" s="4"/>
      <c r="Y1743" s="4"/>
      <c r="Z1743" s="4"/>
      <c r="AA1743" s="4"/>
      <c r="AB1743" s="4"/>
      <c r="AC1743" s="4"/>
      <c r="AD1743" s="4"/>
      <c r="AE1743" s="4"/>
      <c r="AF1743" s="4"/>
      <c r="AG1743" s="4"/>
      <c r="AH1743" s="4"/>
      <c r="AI1743" s="4"/>
      <c r="AJ1743" s="4"/>
      <c r="AK1743" s="4"/>
      <c r="AL1743" s="4"/>
      <c r="AM1743" s="4"/>
      <c r="AN1743" s="4"/>
      <c r="AO1743" s="4"/>
      <c r="AP1743" s="4"/>
      <c r="AQ1743" s="4"/>
      <c r="AR1743" s="4"/>
      <c r="AS1743" s="4"/>
      <c r="AT1743" s="4"/>
      <c r="AU1743" s="4"/>
      <c r="AV1743" s="4"/>
      <c r="AW1743" s="4"/>
      <c r="AX1743" s="4"/>
      <c r="AY1743" s="4"/>
      <c r="AZ1743" s="4"/>
      <c r="BA1743" s="4"/>
      <c r="BB1743" s="4"/>
      <c r="BC1743" s="4"/>
      <c r="BD1743" s="4"/>
      <c r="BE1743" s="4"/>
      <c r="BF1743" s="4"/>
      <c r="BG1743" s="4"/>
      <c r="BH1743" s="4"/>
      <c r="BI1743" s="4"/>
      <c r="BJ1743" s="4"/>
      <c r="BK1743" s="4"/>
      <c r="BL1743" s="4"/>
      <c r="BM1743" s="4"/>
      <c r="BN1743" s="4"/>
      <c r="BO1743" s="4"/>
      <c r="BP1743" s="4"/>
      <c r="BQ1743" s="4"/>
      <c r="BR1743" s="4"/>
      <c r="BS1743" s="4"/>
      <c r="BT1743" s="4"/>
      <c r="BU1743" s="4"/>
      <c r="BV1743" s="4"/>
      <c r="BW1743" s="4"/>
      <c r="BX1743" s="4"/>
      <c r="BY1743" s="4"/>
      <c r="BZ1743" s="4"/>
      <c r="CA1743" s="4"/>
      <c r="CB1743" s="4"/>
      <c r="CC1743" s="4"/>
      <c r="CD1743" s="4"/>
      <c r="CE1743" s="4"/>
      <c r="CF1743" s="4"/>
      <c r="CG1743" s="4"/>
      <c r="CH1743" s="4"/>
      <c r="CI1743" s="4"/>
      <c r="CJ1743" s="4"/>
      <c r="CK1743" s="4"/>
      <c r="CL1743" s="4"/>
      <c r="CM1743" s="4"/>
      <c r="CN1743" s="4"/>
      <c r="CO1743" s="4"/>
      <c r="CP1743" s="4"/>
      <c r="CQ1743" s="4"/>
      <c r="CR1743" s="4"/>
      <c r="CS1743" s="4"/>
      <c r="CT1743" s="4"/>
      <c r="CU1743" s="4"/>
      <c r="CV1743" s="4"/>
      <c r="CW1743" s="4"/>
      <c r="CX1743" s="4"/>
      <c r="CY1743" s="4"/>
      <c r="CZ1743" s="4"/>
      <c r="DA1743" s="4"/>
      <c r="DB1743" s="4"/>
      <c r="DC1743" s="4"/>
      <c r="DD1743" s="4"/>
      <c r="DE1743" s="4"/>
      <c r="DF1743" s="4"/>
      <c r="DG1743" s="4"/>
      <c r="DH1743" s="4"/>
      <c r="DI1743" s="4"/>
      <c r="DJ1743" s="4"/>
      <c r="DK1743" s="4"/>
      <c r="DL1743" s="4"/>
      <c r="DM1743" s="4"/>
      <c r="DN1743" s="4"/>
      <c r="DO1743" s="4"/>
      <c r="DP1743" s="4"/>
      <c r="DQ1743" s="4"/>
      <c r="DR1743" s="4"/>
    </row>
    <row r="1744" spans="1:122" x14ac:dyDescent="0.25">
      <c r="A1744" s="2" t="s">
        <v>15</v>
      </c>
      <c r="B1744" s="2" t="str">
        <f>"FES1162769621"</f>
        <v>FES1162769621</v>
      </c>
      <c r="C1744" s="2" t="s">
        <v>1190</v>
      </c>
      <c r="D1744" s="2">
        <v>1</v>
      </c>
      <c r="E1744" s="2" t="str">
        <f>"2170756696"</f>
        <v>2170756696</v>
      </c>
      <c r="F1744" s="2" t="s">
        <v>17</v>
      </c>
      <c r="G1744" s="2" t="s">
        <v>18</v>
      </c>
      <c r="H1744" s="2" t="s">
        <v>25</v>
      </c>
      <c r="I1744" s="2" t="s">
        <v>26</v>
      </c>
      <c r="J1744" s="2" t="s">
        <v>100</v>
      </c>
      <c r="K1744" s="2" t="s">
        <v>1266</v>
      </c>
      <c r="L1744" s="3">
        <v>0.31666666666666665</v>
      </c>
      <c r="M1744" s="2" t="s">
        <v>1291</v>
      </c>
      <c r="N1744" s="2" t="s">
        <v>500</v>
      </c>
      <c r="O1744" s="2"/>
      <c r="P1744" s="4"/>
      <c r="Q1744" s="4"/>
      <c r="R1744" s="4"/>
      <c r="S1744" s="4"/>
      <c r="T1744" s="4"/>
      <c r="U1744" s="4"/>
      <c r="V1744" s="4"/>
      <c r="W1744" s="4"/>
      <c r="X1744" s="4"/>
      <c r="Y1744" s="4"/>
      <c r="Z1744" s="4"/>
      <c r="AA1744" s="4"/>
      <c r="AB1744" s="4"/>
      <c r="AC1744" s="4"/>
      <c r="AD1744" s="4"/>
      <c r="AE1744" s="4"/>
      <c r="AF1744" s="4"/>
      <c r="AG1744" s="4"/>
      <c r="AH1744" s="4"/>
      <c r="AI1744" s="4"/>
      <c r="AJ1744" s="4"/>
      <c r="AK1744" s="4"/>
      <c r="AL1744" s="4"/>
      <c r="AM1744" s="4"/>
      <c r="AN1744" s="4"/>
      <c r="AO1744" s="4"/>
      <c r="AP1744" s="4"/>
      <c r="AQ1744" s="4"/>
      <c r="AR1744" s="4"/>
      <c r="AS1744" s="4"/>
      <c r="AT1744" s="4"/>
      <c r="AU1744" s="4"/>
      <c r="AV1744" s="4"/>
      <c r="AW1744" s="4"/>
      <c r="AX1744" s="4"/>
      <c r="AY1744" s="4"/>
      <c r="AZ1744" s="4"/>
      <c r="BA1744" s="4"/>
      <c r="BB1744" s="4"/>
      <c r="BC1744" s="4"/>
      <c r="BD1744" s="4"/>
      <c r="BE1744" s="4"/>
      <c r="BF1744" s="4"/>
      <c r="BG1744" s="4"/>
      <c r="BH1744" s="4"/>
      <c r="BI1744" s="4"/>
      <c r="BJ1744" s="4"/>
      <c r="BK1744" s="4"/>
      <c r="BL1744" s="4"/>
      <c r="BM1744" s="4"/>
      <c r="BN1744" s="4"/>
      <c r="BO1744" s="4"/>
      <c r="BP1744" s="4"/>
      <c r="BQ1744" s="4"/>
      <c r="BR1744" s="4"/>
      <c r="BS1744" s="4"/>
      <c r="BT1744" s="4"/>
      <c r="BU1744" s="4"/>
      <c r="BV1744" s="4"/>
      <c r="BW1744" s="4"/>
      <c r="BX1744" s="4"/>
      <c r="BY1744" s="4"/>
      <c r="BZ1744" s="4"/>
      <c r="CA1744" s="4"/>
      <c r="CB1744" s="4"/>
      <c r="CC1744" s="4"/>
      <c r="CD1744" s="4"/>
      <c r="CE1744" s="4"/>
      <c r="CF1744" s="4"/>
      <c r="CG1744" s="4"/>
      <c r="CH1744" s="4"/>
      <c r="CI1744" s="4"/>
      <c r="CJ1744" s="4"/>
      <c r="CK1744" s="4"/>
      <c r="CL1744" s="4"/>
      <c r="CM1744" s="4"/>
      <c r="CN1744" s="4"/>
      <c r="CO1744" s="4"/>
      <c r="CP1744" s="4"/>
      <c r="CQ1744" s="4"/>
      <c r="CR1744" s="4"/>
      <c r="CS1744" s="4"/>
      <c r="CT1744" s="4"/>
      <c r="CU1744" s="4"/>
      <c r="CV1744" s="4"/>
      <c r="CW1744" s="4"/>
      <c r="CX1744" s="4"/>
      <c r="CY1744" s="4"/>
      <c r="CZ1744" s="4"/>
      <c r="DA1744" s="4"/>
      <c r="DB1744" s="4"/>
      <c r="DC1744" s="4"/>
      <c r="DD1744" s="4"/>
      <c r="DE1744" s="4"/>
      <c r="DF1744" s="4"/>
      <c r="DG1744" s="4"/>
      <c r="DH1744" s="4"/>
      <c r="DI1744" s="4"/>
      <c r="DJ1744" s="4"/>
      <c r="DK1744" s="4"/>
      <c r="DL1744" s="4"/>
      <c r="DM1744" s="4"/>
      <c r="DN1744" s="4"/>
      <c r="DO1744" s="4"/>
      <c r="DP1744" s="4"/>
      <c r="DQ1744" s="4"/>
      <c r="DR1744" s="4"/>
    </row>
    <row r="1745" spans="1:122" x14ac:dyDescent="0.25">
      <c r="A1745" s="2" t="s">
        <v>15</v>
      </c>
      <c r="B1745" s="2" t="str">
        <f>"FES1162769907"</f>
        <v>FES1162769907</v>
      </c>
      <c r="C1745" s="2" t="s">
        <v>1190</v>
      </c>
      <c r="D1745" s="2">
        <v>1</v>
      </c>
      <c r="E1745" s="2" t="str">
        <f>"2170757218"</f>
        <v>2170757218</v>
      </c>
      <c r="F1745" s="2" t="s">
        <v>205</v>
      </c>
      <c r="G1745" s="2" t="s">
        <v>206</v>
      </c>
      <c r="H1745" s="2" t="s">
        <v>25</v>
      </c>
      <c r="I1745" s="2" t="s">
        <v>26</v>
      </c>
      <c r="J1745" s="2" t="s">
        <v>100</v>
      </c>
      <c r="K1745" s="2" t="s">
        <v>1353</v>
      </c>
      <c r="L1745" s="3">
        <v>0.33333333333333331</v>
      </c>
      <c r="M1745" s="2" t="s">
        <v>1814</v>
      </c>
      <c r="N1745" s="2" t="s">
        <v>500</v>
      </c>
      <c r="O1745" s="2"/>
      <c r="P1745" s="4"/>
      <c r="Q1745" s="4"/>
      <c r="R1745" s="4"/>
      <c r="S1745" s="4"/>
      <c r="T1745" s="4"/>
      <c r="U1745" s="4"/>
      <c r="V1745" s="4"/>
      <c r="W1745" s="4"/>
      <c r="X1745" s="4"/>
      <c r="Y1745" s="4"/>
      <c r="Z1745" s="4"/>
      <c r="AA1745" s="4"/>
      <c r="AB1745" s="4"/>
      <c r="AC1745" s="4"/>
      <c r="AD1745" s="4"/>
      <c r="AE1745" s="4"/>
      <c r="AF1745" s="4"/>
      <c r="AG1745" s="4"/>
      <c r="AH1745" s="4"/>
      <c r="AI1745" s="4"/>
      <c r="AJ1745" s="4"/>
      <c r="AK1745" s="4"/>
      <c r="AL1745" s="4"/>
      <c r="AM1745" s="4"/>
      <c r="AN1745" s="4"/>
      <c r="AO1745" s="4"/>
      <c r="AP1745" s="4"/>
      <c r="AQ1745" s="4"/>
      <c r="AR1745" s="4"/>
      <c r="AS1745" s="4"/>
      <c r="AT1745" s="4"/>
      <c r="AU1745" s="4"/>
      <c r="AV1745" s="4"/>
      <c r="AW1745" s="4"/>
      <c r="AX1745" s="4"/>
      <c r="AY1745" s="4"/>
      <c r="AZ1745" s="4"/>
      <c r="BA1745" s="4"/>
      <c r="BB1745" s="4"/>
      <c r="BC1745" s="4"/>
      <c r="BD1745" s="4"/>
      <c r="BE1745" s="4"/>
      <c r="BF1745" s="4"/>
      <c r="BG1745" s="4"/>
      <c r="BH1745" s="4"/>
      <c r="BI1745" s="4"/>
      <c r="BJ1745" s="4"/>
      <c r="BK1745" s="4"/>
      <c r="BL1745" s="4"/>
      <c r="BM1745" s="4"/>
      <c r="BN1745" s="4"/>
      <c r="BO1745" s="4"/>
      <c r="BP1745" s="4"/>
      <c r="BQ1745" s="4"/>
      <c r="BR1745" s="4"/>
      <c r="BS1745" s="4"/>
      <c r="BT1745" s="4"/>
      <c r="BU1745" s="4"/>
      <c r="BV1745" s="4"/>
      <c r="BW1745" s="4"/>
      <c r="BX1745" s="4"/>
      <c r="BY1745" s="4"/>
      <c r="BZ1745" s="4"/>
      <c r="CA1745" s="4"/>
      <c r="CB1745" s="4"/>
      <c r="CC1745" s="4"/>
      <c r="CD1745" s="4"/>
      <c r="CE1745" s="4"/>
      <c r="CF1745" s="4"/>
      <c r="CG1745" s="4"/>
      <c r="CH1745" s="4"/>
      <c r="CI1745" s="4"/>
      <c r="CJ1745" s="4"/>
      <c r="CK1745" s="4"/>
      <c r="CL1745" s="4"/>
      <c r="CM1745" s="4"/>
      <c r="CN1745" s="4"/>
      <c r="CO1745" s="4"/>
      <c r="CP1745" s="4"/>
      <c r="CQ1745" s="4"/>
      <c r="CR1745" s="4"/>
      <c r="CS1745" s="4"/>
      <c r="CT1745" s="4"/>
      <c r="CU1745" s="4"/>
      <c r="CV1745" s="4"/>
      <c r="CW1745" s="4"/>
      <c r="CX1745" s="4"/>
      <c r="CY1745" s="4"/>
      <c r="CZ1745" s="4"/>
      <c r="DA1745" s="4"/>
      <c r="DB1745" s="4"/>
      <c r="DC1745" s="4"/>
      <c r="DD1745" s="4"/>
      <c r="DE1745" s="4"/>
      <c r="DF1745" s="4"/>
      <c r="DG1745" s="4"/>
      <c r="DH1745" s="4"/>
      <c r="DI1745" s="4"/>
      <c r="DJ1745" s="4"/>
      <c r="DK1745" s="4"/>
      <c r="DL1745" s="4"/>
      <c r="DM1745" s="4"/>
      <c r="DN1745" s="4"/>
      <c r="DO1745" s="4"/>
      <c r="DP1745" s="4"/>
      <c r="DQ1745" s="4"/>
      <c r="DR1745" s="4"/>
    </row>
    <row r="1746" spans="1:122" x14ac:dyDescent="0.25">
      <c r="A1746" s="2" t="s">
        <v>15</v>
      </c>
      <c r="B1746" s="2" t="str">
        <f>"FES1162769749"</f>
        <v>FES1162769749</v>
      </c>
      <c r="C1746" s="2" t="s">
        <v>1190</v>
      </c>
      <c r="D1746" s="2">
        <v>1</v>
      </c>
      <c r="E1746" s="2" t="str">
        <f>"2170756950"</f>
        <v>2170756950</v>
      </c>
      <c r="F1746" s="2" t="s">
        <v>17</v>
      </c>
      <c r="G1746" s="2" t="s">
        <v>18</v>
      </c>
      <c r="H1746" s="2" t="s">
        <v>19</v>
      </c>
      <c r="I1746" s="2" t="s">
        <v>20</v>
      </c>
      <c r="J1746" s="2" t="s">
        <v>1124</v>
      </c>
      <c r="K1746" s="2" t="s">
        <v>1266</v>
      </c>
      <c r="L1746" s="3">
        <v>0.41875000000000001</v>
      </c>
      <c r="M1746" s="2" t="s">
        <v>1167</v>
      </c>
      <c r="N1746" s="2" t="s">
        <v>500</v>
      </c>
      <c r="O1746" s="2"/>
      <c r="P1746" s="4"/>
      <c r="Q1746" s="4"/>
      <c r="R1746" s="4"/>
      <c r="S1746" s="4"/>
      <c r="T1746" s="4"/>
      <c r="U1746" s="4"/>
      <c r="V1746" s="4"/>
      <c r="W1746" s="4"/>
      <c r="X1746" s="4"/>
      <c r="Y1746" s="4"/>
      <c r="Z1746" s="4"/>
      <c r="AA1746" s="4"/>
      <c r="AB1746" s="4"/>
      <c r="AC1746" s="4"/>
      <c r="AD1746" s="4"/>
      <c r="AE1746" s="4"/>
      <c r="AF1746" s="4"/>
      <c r="AG1746" s="4"/>
      <c r="AH1746" s="4"/>
      <c r="AI1746" s="4"/>
      <c r="AJ1746" s="4"/>
      <c r="AK1746" s="4"/>
      <c r="AL1746" s="4"/>
      <c r="AM1746" s="4"/>
      <c r="AN1746" s="4"/>
      <c r="AO1746" s="4"/>
      <c r="AP1746" s="4"/>
      <c r="AQ1746" s="4"/>
      <c r="AR1746" s="4"/>
      <c r="AS1746" s="4"/>
      <c r="AT1746" s="4"/>
      <c r="AU1746" s="4"/>
      <c r="AV1746" s="4"/>
      <c r="AW1746" s="4"/>
      <c r="AX1746" s="4"/>
      <c r="AY1746" s="4"/>
      <c r="AZ1746" s="4"/>
      <c r="BA1746" s="4"/>
      <c r="BB1746" s="4"/>
      <c r="BC1746" s="4"/>
      <c r="BD1746" s="4"/>
      <c r="BE1746" s="4"/>
      <c r="BF1746" s="4"/>
      <c r="BG1746" s="4"/>
      <c r="BH1746" s="4"/>
      <c r="BI1746" s="4"/>
      <c r="BJ1746" s="4"/>
      <c r="BK1746" s="4"/>
      <c r="BL1746" s="4"/>
      <c r="BM1746" s="4"/>
      <c r="BN1746" s="4"/>
      <c r="BO1746" s="4"/>
      <c r="BP1746" s="4"/>
      <c r="BQ1746" s="4"/>
      <c r="BR1746" s="4"/>
      <c r="BS1746" s="4"/>
      <c r="BT1746" s="4"/>
      <c r="BU1746" s="4"/>
      <c r="BV1746" s="4"/>
      <c r="BW1746" s="4"/>
      <c r="BX1746" s="4"/>
      <c r="BY1746" s="4"/>
      <c r="BZ1746" s="4"/>
      <c r="CA1746" s="4"/>
      <c r="CB1746" s="4"/>
      <c r="CC1746" s="4"/>
      <c r="CD1746" s="4"/>
      <c r="CE1746" s="4"/>
      <c r="CF1746" s="4"/>
      <c r="CG1746" s="4"/>
      <c r="CH1746" s="4"/>
      <c r="CI1746" s="4"/>
      <c r="CJ1746" s="4"/>
      <c r="CK1746" s="4"/>
      <c r="CL1746" s="4"/>
      <c r="CM1746" s="4"/>
      <c r="CN1746" s="4"/>
      <c r="CO1746" s="4"/>
      <c r="CP1746" s="4"/>
      <c r="CQ1746" s="4"/>
      <c r="CR1746" s="4"/>
      <c r="CS1746" s="4"/>
      <c r="CT1746" s="4"/>
      <c r="CU1746" s="4"/>
      <c r="CV1746" s="4"/>
      <c r="CW1746" s="4"/>
      <c r="CX1746" s="4"/>
      <c r="CY1746" s="4"/>
      <c r="CZ1746" s="4"/>
      <c r="DA1746" s="4"/>
      <c r="DB1746" s="4"/>
      <c r="DC1746" s="4"/>
      <c r="DD1746" s="4"/>
      <c r="DE1746" s="4"/>
      <c r="DF1746" s="4"/>
      <c r="DG1746" s="4"/>
      <c r="DH1746" s="4"/>
      <c r="DI1746" s="4"/>
      <c r="DJ1746" s="4"/>
      <c r="DK1746" s="4"/>
      <c r="DL1746" s="4"/>
      <c r="DM1746" s="4"/>
      <c r="DN1746" s="4"/>
      <c r="DO1746" s="4"/>
      <c r="DP1746" s="4"/>
      <c r="DQ1746" s="4"/>
      <c r="DR1746" s="4"/>
    </row>
    <row r="1747" spans="1:122" x14ac:dyDescent="0.25">
      <c r="A1747" s="2" t="s">
        <v>15</v>
      </c>
      <c r="B1747" s="2" t="str">
        <f>"FES1162769567"</f>
        <v>FES1162769567</v>
      </c>
      <c r="C1747" s="2" t="s">
        <v>1190</v>
      </c>
      <c r="D1747" s="2">
        <v>1</v>
      </c>
      <c r="E1747" s="2" t="str">
        <f>"2170756594"</f>
        <v>2170756594</v>
      </c>
      <c r="F1747" s="2" t="s">
        <v>17</v>
      </c>
      <c r="G1747" s="2" t="s">
        <v>18</v>
      </c>
      <c r="H1747" s="2" t="s">
        <v>88</v>
      </c>
      <c r="I1747" s="2" t="s">
        <v>109</v>
      </c>
      <c r="J1747" s="2" t="s">
        <v>904</v>
      </c>
      <c r="K1747" s="2" t="s">
        <v>1266</v>
      </c>
      <c r="L1747" s="3">
        <v>0.36805555555555558</v>
      </c>
      <c r="M1747" s="2" t="s">
        <v>992</v>
      </c>
      <c r="N1747" s="2" t="s">
        <v>500</v>
      </c>
      <c r="O1747" s="2"/>
      <c r="P1747" s="4"/>
      <c r="Q1747" s="4"/>
      <c r="R1747" s="4"/>
      <c r="S1747" s="4"/>
      <c r="T1747" s="4"/>
      <c r="U1747" s="4"/>
      <c r="V1747" s="4"/>
      <c r="W1747" s="4"/>
      <c r="X1747" s="4"/>
      <c r="Y1747" s="4"/>
      <c r="Z1747" s="4"/>
      <c r="AA1747" s="4"/>
      <c r="AB1747" s="4"/>
      <c r="AC1747" s="4"/>
      <c r="AD1747" s="4"/>
      <c r="AE1747" s="4"/>
      <c r="AF1747" s="4"/>
      <c r="AG1747" s="4"/>
      <c r="AH1747" s="4"/>
      <c r="AI1747" s="4"/>
      <c r="AJ1747" s="4"/>
      <c r="AK1747" s="4"/>
      <c r="AL1747" s="4"/>
      <c r="AM1747" s="4"/>
      <c r="AN1747" s="4"/>
      <c r="AO1747" s="4"/>
      <c r="AP1747" s="4"/>
      <c r="AQ1747" s="4"/>
      <c r="AR1747" s="4"/>
      <c r="AS1747" s="4"/>
      <c r="AT1747" s="4"/>
      <c r="AU1747" s="4"/>
      <c r="AV1747" s="4"/>
      <c r="AW1747" s="4"/>
      <c r="AX1747" s="4"/>
      <c r="AY1747" s="4"/>
      <c r="AZ1747" s="4"/>
      <c r="BA1747" s="4"/>
      <c r="BB1747" s="4"/>
      <c r="BC1747" s="4"/>
      <c r="BD1747" s="4"/>
      <c r="BE1747" s="4"/>
      <c r="BF1747" s="4"/>
      <c r="BG1747" s="4"/>
      <c r="BH1747" s="4"/>
      <c r="BI1747" s="4"/>
      <c r="BJ1747" s="4"/>
      <c r="BK1747" s="4"/>
      <c r="BL1747" s="4"/>
      <c r="BM1747" s="4"/>
      <c r="BN1747" s="4"/>
      <c r="BO1747" s="4"/>
      <c r="BP1747" s="4"/>
      <c r="BQ1747" s="4"/>
      <c r="BR1747" s="4"/>
      <c r="BS1747" s="4"/>
      <c r="BT1747" s="4"/>
      <c r="BU1747" s="4"/>
      <c r="BV1747" s="4"/>
      <c r="BW1747" s="4"/>
      <c r="BX1747" s="4"/>
      <c r="BY1747" s="4"/>
      <c r="BZ1747" s="4"/>
      <c r="CA1747" s="4"/>
      <c r="CB1747" s="4"/>
      <c r="CC1747" s="4"/>
      <c r="CD1747" s="4"/>
      <c r="CE1747" s="4"/>
      <c r="CF1747" s="4"/>
      <c r="CG1747" s="4"/>
      <c r="CH1747" s="4"/>
      <c r="CI1747" s="4"/>
      <c r="CJ1747" s="4"/>
      <c r="CK1747" s="4"/>
      <c r="CL1747" s="4"/>
      <c r="CM1747" s="4"/>
      <c r="CN1747" s="4"/>
      <c r="CO1747" s="4"/>
      <c r="CP1747" s="4"/>
      <c r="CQ1747" s="4"/>
      <c r="CR1747" s="4"/>
      <c r="CS1747" s="4"/>
      <c r="CT1747" s="4"/>
      <c r="CU1747" s="4"/>
      <c r="CV1747" s="4"/>
      <c r="CW1747" s="4"/>
      <c r="CX1747" s="4"/>
      <c r="CY1747" s="4"/>
      <c r="CZ1747" s="4"/>
      <c r="DA1747" s="4"/>
      <c r="DB1747" s="4"/>
      <c r="DC1747" s="4"/>
      <c r="DD1747" s="4"/>
      <c r="DE1747" s="4"/>
      <c r="DF1747" s="4"/>
      <c r="DG1747" s="4"/>
      <c r="DH1747" s="4"/>
      <c r="DI1747" s="4"/>
      <c r="DJ1747" s="4"/>
      <c r="DK1747" s="4"/>
      <c r="DL1747" s="4"/>
      <c r="DM1747" s="4"/>
      <c r="DN1747" s="4"/>
      <c r="DO1747" s="4"/>
      <c r="DP1747" s="4"/>
      <c r="DQ1747" s="4"/>
      <c r="DR1747" s="4"/>
    </row>
    <row r="1748" spans="1:122" x14ac:dyDescent="0.25">
      <c r="A1748" s="2" t="s">
        <v>15</v>
      </c>
      <c r="B1748" s="2" t="str">
        <f>"FES1162769691"</f>
        <v>FES1162769691</v>
      </c>
      <c r="C1748" s="2" t="s">
        <v>1190</v>
      </c>
      <c r="D1748" s="2">
        <v>1</v>
      </c>
      <c r="E1748" s="2" t="str">
        <f>"2170756811"</f>
        <v>2170756811</v>
      </c>
      <c r="F1748" s="2" t="s">
        <v>17</v>
      </c>
      <c r="G1748" s="2" t="s">
        <v>18</v>
      </c>
      <c r="H1748" s="2" t="s">
        <v>18</v>
      </c>
      <c r="I1748" s="2" t="s">
        <v>478</v>
      </c>
      <c r="J1748" s="2" t="s">
        <v>498</v>
      </c>
      <c r="K1748" s="2" t="s">
        <v>1266</v>
      </c>
      <c r="L1748" s="3">
        <v>0.34375</v>
      </c>
      <c r="M1748" s="2" t="s">
        <v>1390</v>
      </c>
      <c r="N1748" s="2" t="s">
        <v>500</v>
      </c>
      <c r="O1748" s="2"/>
      <c r="P1748" s="4"/>
      <c r="Q1748" s="4"/>
      <c r="R1748" s="4"/>
      <c r="S1748" s="4"/>
      <c r="T1748" s="4"/>
      <c r="U1748" s="4"/>
      <c r="V1748" s="4"/>
      <c r="W1748" s="4"/>
      <c r="X1748" s="4"/>
      <c r="Y1748" s="4"/>
      <c r="Z1748" s="4"/>
      <c r="AA1748" s="4"/>
      <c r="AB1748" s="4"/>
      <c r="AC1748" s="4"/>
      <c r="AD1748" s="4"/>
      <c r="AE1748" s="4"/>
      <c r="AF1748" s="4"/>
      <c r="AG1748" s="4"/>
      <c r="AH1748" s="4"/>
      <c r="AI1748" s="4"/>
      <c r="AJ1748" s="4"/>
      <c r="AK1748" s="4"/>
      <c r="AL1748" s="4"/>
      <c r="AM1748" s="4"/>
      <c r="AN1748" s="4"/>
      <c r="AO1748" s="4"/>
      <c r="AP1748" s="4"/>
      <c r="AQ1748" s="4"/>
      <c r="AR1748" s="4"/>
      <c r="AS1748" s="4"/>
      <c r="AT1748" s="4"/>
      <c r="AU1748" s="4"/>
      <c r="AV1748" s="4"/>
      <c r="AW1748" s="4"/>
      <c r="AX1748" s="4"/>
      <c r="AY1748" s="4"/>
      <c r="AZ1748" s="4"/>
      <c r="BA1748" s="4"/>
      <c r="BB1748" s="4"/>
      <c r="BC1748" s="4"/>
      <c r="BD1748" s="4"/>
      <c r="BE1748" s="4"/>
      <c r="BF1748" s="4"/>
      <c r="BG1748" s="4"/>
      <c r="BH1748" s="4"/>
      <c r="BI1748" s="4"/>
      <c r="BJ1748" s="4"/>
      <c r="BK1748" s="4"/>
      <c r="BL1748" s="4"/>
      <c r="BM1748" s="4"/>
      <c r="BN1748" s="4"/>
      <c r="BO1748" s="4"/>
      <c r="BP1748" s="4"/>
      <c r="BQ1748" s="4"/>
      <c r="BR1748" s="4"/>
      <c r="BS1748" s="4"/>
      <c r="BT1748" s="4"/>
      <c r="BU1748" s="4"/>
      <c r="BV1748" s="4"/>
      <c r="BW1748" s="4"/>
      <c r="BX1748" s="4"/>
      <c r="BY1748" s="4"/>
      <c r="BZ1748" s="4"/>
      <c r="CA1748" s="4"/>
      <c r="CB1748" s="4"/>
      <c r="CC1748" s="4"/>
      <c r="CD1748" s="4"/>
      <c r="CE1748" s="4"/>
      <c r="CF1748" s="4"/>
      <c r="CG1748" s="4"/>
      <c r="CH1748" s="4"/>
      <c r="CI1748" s="4"/>
      <c r="CJ1748" s="4"/>
      <c r="CK1748" s="4"/>
      <c r="CL1748" s="4"/>
      <c r="CM1748" s="4"/>
      <c r="CN1748" s="4"/>
      <c r="CO1748" s="4"/>
      <c r="CP1748" s="4"/>
      <c r="CQ1748" s="4"/>
      <c r="CR1748" s="4"/>
      <c r="CS1748" s="4"/>
      <c r="CT1748" s="4"/>
      <c r="CU1748" s="4"/>
      <c r="CV1748" s="4"/>
      <c r="CW1748" s="4"/>
      <c r="CX1748" s="4"/>
      <c r="CY1748" s="4"/>
      <c r="CZ1748" s="4"/>
      <c r="DA1748" s="4"/>
      <c r="DB1748" s="4"/>
      <c r="DC1748" s="4"/>
      <c r="DD1748" s="4"/>
      <c r="DE1748" s="4"/>
      <c r="DF1748" s="4"/>
      <c r="DG1748" s="4"/>
      <c r="DH1748" s="4"/>
      <c r="DI1748" s="4"/>
      <c r="DJ1748" s="4"/>
      <c r="DK1748" s="4"/>
      <c r="DL1748" s="4"/>
      <c r="DM1748" s="4"/>
      <c r="DN1748" s="4"/>
      <c r="DO1748" s="4"/>
      <c r="DP1748" s="4"/>
      <c r="DQ1748" s="4"/>
      <c r="DR1748" s="4"/>
    </row>
    <row r="1749" spans="1:122" x14ac:dyDescent="0.25">
      <c r="A1749" s="2" t="s">
        <v>15</v>
      </c>
      <c r="B1749" s="2" t="str">
        <f>"FES1162769863"</f>
        <v>FES1162769863</v>
      </c>
      <c r="C1749" s="2" t="s">
        <v>1190</v>
      </c>
      <c r="D1749" s="2">
        <v>1</v>
      </c>
      <c r="E1749" s="2" t="str">
        <f>"2170757163"</f>
        <v>2170757163</v>
      </c>
      <c r="F1749" s="2" t="s">
        <v>17</v>
      </c>
      <c r="G1749" s="2" t="s">
        <v>18</v>
      </c>
      <c r="H1749" s="2" t="s">
        <v>88</v>
      </c>
      <c r="I1749" s="2" t="s">
        <v>109</v>
      </c>
      <c r="J1749" s="2" t="s">
        <v>1320</v>
      </c>
      <c r="K1749" s="2" t="s">
        <v>1266</v>
      </c>
      <c r="L1749" s="3">
        <v>0.38541666666666669</v>
      </c>
      <c r="M1749" s="2" t="s">
        <v>1391</v>
      </c>
      <c r="N1749" s="2" t="s">
        <v>500</v>
      </c>
      <c r="O1749" s="2"/>
      <c r="P1749" s="4"/>
      <c r="Q1749" s="4"/>
      <c r="R1749" s="4"/>
      <c r="S1749" s="4"/>
      <c r="T1749" s="4"/>
      <c r="U1749" s="4"/>
      <c r="V1749" s="4"/>
      <c r="W1749" s="4"/>
      <c r="X1749" s="4"/>
      <c r="Y1749" s="4"/>
      <c r="Z1749" s="4"/>
      <c r="AA1749" s="4"/>
      <c r="AB1749" s="4"/>
      <c r="AC1749" s="4"/>
      <c r="AD1749" s="4"/>
      <c r="AE1749" s="4"/>
      <c r="AF1749" s="4"/>
      <c r="AG1749" s="4"/>
      <c r="AH1749" s="4"/>
      <c r="AI1749" s="4"/>
      <c r="AJ1749" s="4"/>
      <c r="AK1749" s="4"/>
      <c r="AL1749" s="4"/>
      <c r="AM1749" s="4"/>
      <c r="AN1749" s="4"/>
      <c r="AO1749" s="4"/>
      <c r="AP1749" s="4"/>
      <c r="AQ1749" s="4"/>
      <c r="AR1749" s="4"/>
      <c r="AS1749" s="4"/>
      <c r="AT1749" s="4"/>
      <c r="AU1749" s="4"/>
      <c r="AV1749" s="4"/>
      <c r="AW1749" s="4"/>
      <c r="AX1749" s="4"/>
      <c r="AY1749" s="4"/>
      <c r="AZ1749" s="4"/>
      <c r="BA1749" s="4"/>
      <c r="BB1749" s="4"/>
      <c r="BC1749" s="4"/>
      <c r="BD1749" s="4"/>
      <c r="BE1749" s="4"/>
      <c r="BF1749" s="4"/>
      <c r="BG1749" s="4"/>
      <c r="BH1749" s="4"/>
      <c r="BI1749" s="4"/>
      <c r="BJ1749" s="4"/>
      <c r="BK1749" s="4"/>
      <c r="BL1749" s="4"/>
      <c r="BM1749" s="4"/>
      <c r="BN1749" s="4"/>
      <c r="BO1749" s="4"/>
      <c r="BP1749" s="4"/>
      <c r="BQ1749" s="4"/>
      <c r="BR1749" s="4"/>
      <c r="BS1749" s="4"/>
      <c r="BT1749" s="4"/>
      <c r="BU1749" s="4"/>
      <c r="BV1749" s="4"/>
      <c r="BW1749" s="4"/>
      <c r="BX1749" s="4"/>
      <c r="BY1749" s="4"/>
      <c r="BZ1749" s="4"/>
      <c r="CA1749" s="4"/>
      <c r="CB1749" s="4"/>
      <c r="CC1749" s="4"/>
      <c r="CD1749" s="4"/>
      <c r="CE1749" s="4"/>
      <c r="CF1749" s="4"/>
      <c r="CG1749" s="4"/>
      <c r="CH1749" s="4"/>
      <c r="CI1749" s="4"/>
      <c r="CJ1749" s="4"/>
      <c r="CK1749" s="4"/>
      <c r="CL1749" s="4"/>
      <c r="CM1749" s="4"/>
      <c r="CN1749" s="4"/>
      <c r="CO1749" s="4"/>
      <c r="CP1749" s="4"/>
      <c r="CQ1749" s="4"/>
      <c r="CR1749" s="4"/>
      <c r="CS1749" s="4"/>
      <c r="CT1749" s="4"/>
      <c r="CU1749" s="4"/>
      <c r="CV1749" s="4"/>
      <c r="CW1749" s="4"/>
      <c r="CX1749" s="4"/>
      <c r="CY1749" s="4"/>
      <c r="CZ1749" s="4"/>
      <c r="DA1749" s="4"/>
      <c r="DB1749" s="4"/>
      <c r="DC1749" s="4"/>
      <c r="DD1749" s="4"/>
      <c r="DE1749" s="4"/>
      <c r="DF1749" s="4"/>
      <c r="DG1749" s="4"/>
      <c r="DH1749" s="4"/>
      <c r="DI1749" s="4"/>
      <c r="DJ1749" s="4"/>
      <c r="DK1749" s="4"/>
      <c r="DL1749" s="4"/>
      <c r="DM1749" s="4"/>
      <c r="DN1749" s="4"/>
      <c r="DO1749" s="4"/>
      <c r="DP1749" s="4"/>
      <c r="DQ1749" s="4"/>
      <c r="DR1749" s="4"/>
    </row>
    <row r="1750" spans="1:122" x14ac:dyDescent="0.25">
      <c r="A1750" s="2" t="s">
        <v>15</v>
      </c>
      <c r="B1750" s="2" t="str">
        <f>"FES1162769672"</f>
        <v>FES1162769672</v>
      </c>
      <c r="C1750" s="2" t="s">
        <v>1190</v>
      </c>
      <c r="D1750" s="2">
        <v>1</v>
      </c>
      <c r="E1750" s="2" t="str">
        <f>"2170756780"</f>
        <v>2170756780</v>
      </c>
      <c r="F1750" s="2" t="s">
        <v>17</v>
      </c>
      <c r="G1750" s="2" t="s">
        <v>18</v>
      </c>
      <c r="H1750" s="2" t="s">
        <v>19</v>
      </c>
      <c r="I1750" s="2" t="s">
        <v>20</v>
      </c>
      <c r="J1750" s="2" t="s">
        <v>1321</v>
      </c>
      <c r="K1750" s="2" t="s">
        <v>1266</v>
      </c>
      <c r="L1750" s="3">
        <v>0.40277777777777773</v>
      </c>
      <c r="M1750" s="2" t="s">
        <v>1392</v>
      </c>
      <c r="N1750" s="2" t="s">
        <v>500</v>
      </c>
      <c r="O1750" s="2"/>
      <c r="P1750" s="4"/>
      <c r="Q1750" s="4"/>
      <c r="R1750" s="4"/>
      <c r="S1750" s="4"/>
      <c r="T1750" s="4"/>
      <c r="U1750" s="4"/>
      <c r="V1750" s="4"/>
      <c r="W1750" s="4"/>
      <c r="X1750" s="4"/>
      <c r="Y1750" s="4"/>
      <c r="Z1750" s="4"/>
      <c r="AA1750" s="4"/>
      <c r="AB1750" s="4"/>
      <c r="AC1750" s="4"/>
      <c r="AD1750" s="4"/>
      <c r="AE1750" s="4"/>
      <c r="AF1750" s="4"/>
      <c r="AG1750" s="4"/>
      <c r="AH1750" s="4"/>
      <c r="AI1750" s="4"/>
      <c r="AJ1750" s="4"/>
      <c r="AK1750" s="4"/>
      <c r="AL1750" s="4"/>
      <c r="AM1750" s="4"/>
      <c r="AN1750" s="4"/>
      <c r="AO1750" s="4"/>
      <c r="AP1750" s="4"/>
      <c r="AQ1750" s="4"/>
      <c r="AR1750" s="4"/>
      <c r="AS1750" s="4"/>
      <c r="AT1750" s="4"/>
      <c r="AU1750" s="4"/>
      <c r="AV1750" s="4"/>
      <c r="AW1750" s="4"/>
      <c r="AX1750" s="4"/>
      <c r="AY1750" s="4"/>
      <c r="AZ1750" s="4"/>
      <c r="BA1750" s="4"/>
      <c r="BB1750" s="4"/>
      <c r="BC1750" s="4"/>
      <c r="BD1750" s="4"/>
      <c r="BE1750" s="4"/>
      <c r="BF1750" s="4"/>
      <c r="BG1750" s="4"/>
      <c r="BH1750" s="4"/>
      <c r="BI1750" s="4"/>
      <c r="BJ1750" s="4"/>
      <c r="BK1750" s="4"/>
      <c r="BL1750" s="4"/>
      <c r="BM1750" s="4"/>
      <c r="BN1750" s="4"/>
      <c r="BO1750" s="4"/>
      <c r="BP1750" s="4"/>
      <c r="BQ1750" s="4"/>
      <c r="BR1750" s="4"/>
      <c r="BS1750" s="4"/>
      <c r="BT1750" s="4"/>
      <c r="BU1750" s="4"/>
      <c r="BV1750" s="4"/>
      <c r="BW1750" s="4"/>
      <c r="BX1750" s="4"/>
      <c r="BY1750" s="4"/>
      <c r="BZ1750" s="4"/>
      <c r="CA1750" s="4"/>
      <c r="CB1750" s="4"/>
      <c r="CC1750" s="4"/>
      <c r="CD1750" s="4"/>
      <c r="CE1750" s="4"/>
      <c r="CF1750" s="4"/>
      <c r="CG1750" s="4"/>
      <c r="CH1750" s="4"/>
      <c r="CI1750" s="4"/>
      <c r="CJ1750" s="4"/>
      <c r="CK1750" s="4"/>
      <c r="CL1750" s="4"/>
      <c r="CM1750" s="4"/>
      <c r="CN1750" s="4"/>
      <c r="CO1750" s="4"/>
      <c r="CP1750" s="4"/>
      <c r="CQ1750" s="4"/>
      <c r="CR1750" s="4"/>
      <c r="CS1750" s="4"/>
      <c r="CT1750" s="4"/>
      <c r="CU1750" s="4"/>
      <c r="CV1750" s="4"/>
      <c r="CW1750" s="4"/>
      <c r="CX1750" s="4"/>
      <c r="CY1750" s="4"/>
      <c r="CZ1750" s="4"/>
      <c r="DA1750" s="4"/>
      <c r="DB1750" s="4"/>
      <c r="DC1750" s="4"/>
      <c r="DD1750" s="4"/>
      <c r="DE1750" s="4"/>
      <c r="DF1750" s="4"/>
      <c r="DG1750" s="4"/>
      <c r="DH1750" s="4"/>
      <c r="DI1750" s="4"/>
      <c r="DJ1750" s="4"/>
      <c r="DK1750" s="4"/>
      <c r="DL1750" s="4"/>
      <c r="DM1750" s="4"/>
      <c r="DN1750" s="4"/>
      <c r="DO1750" s="4"/>
      <c r="DP1750" s="4"/>
      <c r="DQ1750" s="4"/>
      <c r="DR1750" s="4"/>
    </row>
    <row r="1751" spans="1:122" x14ac:dyDescent="0.25">
      <c r="A1751" s="2" t="s">
        <v>15</v>
      </c>
      <c r="B1751" s="2" t="str">
        <f>"FES1162769746"</f>
        <v>FES1162769746</v>
      </c>
      <c r="C1751" s="2" t="s">
        <v>1190</v>
      </c>
      <c r="D1751" s="2">
        <v>1</v>
      </c>
      <c r="E1751" s="2" t="str">
        <f>"2170756939"</f>
        <v>2170756939</v>
      </c>
      <c r="F1751" s="2" t="s">
        <v>17</v>
      </c>
      <c r="G1751" s="2" t="s">
        <v>18</v>
      </c>
      <c r="H1751" s="2" t="s">
        <v>88</v>
      </c>
      <c r="I1751" s="2" t="s">
        <v>109</v>
      </c>
      <c r="J1751" s="2" t="s">
        <v>141</v>
      </c>
      <c r="K1751" s="2" t="s">
        <v>1266</v>
      </c>
      <c r="L1751" s="3">
        <v>0.39305555555555555</v>
      </c>
      <c r="M1751" s="2" t="s">
        <v>1393</v>
      </c>
      <c r="N1751" s="2" t="s">
        <v>500</v>
      </c>
      <c r="O1751" s="2"/>
      <c r="P1751" s="4"/>
      <c r="Q1751" s="4"/>
      <c r="R1751" s="4"/>
      <c r="S1751" s="4"/>
      <c r="T1751" s="4"/>
      <c r="U1751" s="4"/>
      <c r="V1751" s="4"/>
      <c r="W1751" s="4"/>
      <c r="X1751" s="4"/>
      <c r="Y1751" s="4"/>
      <c r="Z1751" s="4"/>
      <c r="AA1751" s="4"/>
      <c r="AB1751" s="4"/>
      <c r="AC1751" s="4"/>
      <c r="AD1751" s="4"/>
      <c r="AE1751" s="4"/>
      <c r="AF1751" s="4"/>
      <c r="AG1751" s="4"/>
      <c r="AH1751" s="4"/>
      <c r="AI1751" s="4"/>
      <c r="AJ1751" s="4"/>
      <c r="AK1751" s="4"/>
      <c r="AL1751" s="4"/>
      <c r="AM1751" s="4"/>
      <c r="AN1751" s="4"/>
      <c r="AO1751" s="4"/>
      <c r="AP1751" s="4"/>
      <c r="AQ1751" s="4"/>
      <c r="AR1751" s="4"/>
      <c r="AS1751" s="4"/>
      <c r="AT1751" s="4"/>
      <c r="AU1751" s="4"/>
      <c r="AV1751" s="4"/>
      <c r="AW1751" s="4"/>
      <c r="AX1751" s="4"/>
      <c r="AY1751" s="4"/>
      <c r="AZ1751" s="4"/>
      <c r="BA1751" s="4"/>
      <c r="BB1751" s="4"/>
      <c r="BC1751" s="4"/>
      <c r="BD1751" s="4"/>
      <c r="BE1751" s="4"/>
      <c r="BF1751" s="4"/>
      <c r="BG1751" s="4"/>
      <c r="BH1751" s="4"/>
      <c r="BI1751" s="4"/>
      <c r="BJ1751" s="4"/>
      <c r="BK1751" s="4"/>
      <c r="BL1751" s="4"/>
      <c r="BM1751" s="4"/>
      <c r="BN1751" s="4"/>
      <c r="BO1751" s="4"/>
      <c r="BP1751" s="4"/>
      <c r="BQ1751" s="4"/>
      <c r="BR1751" s="4"/>
      <c r="BS1751" s="4"/>
      <c r="BT1751" s="4"/>
      <c r="BU1751" s="4"/>
      <c r="BV1751" s="4"/>
      <c r="BW1751" s="4"/>
      <c r="BX1751" s="4"/>
      <c r="BY1751" s="4"/>
      <c r="BZ1751" s="4"/>
      <c r="CA1751" s="4"/>
      <c r="CB1751" s="4"/>
      <c r="CC1751" s="4"/>
      <c r="CD1751" s="4"/>
      <c r="CE1751" s="4"/>
      <c r="CF1751" s="4"/>
      <c r="CG1751" s="4"/>
      <c r="CH1751" s="4"/>
      <c r="CI1751" s="4"/>
      <c r="CJ1751" s="4"/>
      <c r="CK1751" s="4"/>
      <c r="CL1751" s="4"/>
      <c r="CM1751" s="4"/>
      <c r="CN1751" s="4"/>
      <c r="CO1751" s="4"/>
      <c r="CP1751" s="4"/>
      <c r="CQ1751" s="4"/>
      <c r="CR1751" s="4"/>
      <c r="CS1751" s="4"/>
      <c r="CT1751" s="4"/>
      <c r="CU1751" s="4"/>
      <c r="CV1751" s="4"/>
      <c r="CW1751" s="4"/>
      <c r="CX1751" s="4"/>
      <c r="CY1751" s="4"/>
      <c r="CZ1751" s="4"/>
      <c r="DA1751" s="4"/>
      <c r="DB1751" s="4"/>
      <c r="DC1751" s="4"/>
      <c r="DD1751" s="4"/>
      <c r="DE1751" s="4"/>
      <c r="DF1751" s="4"/>
      <c r="DG1751" s="4"/>
      <c r="DH1751" s="4"/>
      <c r="DI1751" s="4"/>
      <c r="DJ1751" s="4"/>
      <c r="DK1751" s="4"/>
      <c r="DL1751" s="4"/>
      <c r="DM1751" s="4"/>
      <c r="DN1751" s="4"/>
      <c r="DO1751" s="4"/>
      <c r="DP1751" s="4"/>
      <c r="DQ1751" s="4"/>
      <c r="DR1751" s="4"/>
    </row>
    <row r="1752" spans="1:122" x14ac:dyDescent="0.25">
      <c r="A1752" s="2" t="s">
        <v>15</v>
      </c>
      <c r="B1752" s="2" t="str">
        <f>"FES1162769936"</f>
        <v>FES1162769936</v>
      </c>
      <c r="C1752" s="2" t="s">
        <v>1190</v>
      </c>
      <c r="D1752" s="2">
        <v>1</v>
      </c>
      <c r="E1752" s="2" t="str">
        <f>"2170755337"</f>
        <v>2170755337</v>
      </c>
      <c r="F1752" s="2" t="s">
        <v>17</v>
      </c>
      <c r="G1752" s="2" t="s">
        <v>18</v>
      </c>
      <c r="H1752" s="2" t="s">
        <v>19</v>
      </c>
      <c r="I1752" s="2" t="s">
        <v>20</v>
      </c>
      <c r="J1752" s="2" t="s">
        <v>21</v>
      </c>
      <c r="K1752" s="2" t="s">
        <v>1266</v>
      </c>
      <c r="L1752" s="3">
        <v>0.36458333333333331</v>
      </c>
      <c r="M1752" s="2" t="s">
        <v>682</v>
      </c>
      <c r="N1752" s="2" t="s">
        <v>500</v>
      </c>
      <c r="O1752" s="2"/>
      <c r="P1752" s="4"/>
      <c r="Q1752" s="4"/>
      <c r="R1752" s="4"/>
      <c r="S1752" s="4"/>
      <c r="T1752" s="4"/>
      <c r="U1752" s="4"/>
      <c r="V1752" s="4"/>
      <c r="W1752" s="4"/>
      <c r="X1752" s="4"/>
      <c r="Y1752" s="4"/>
      <c r="Z1752" s="4"/>
      <c r="AA1752" s="4"/>
      <c r="AB1752" s="4"/>
      <c r="AC1752" s="4"/>
      <c r="AD1752" s="4"/>
      <c r="AE1752" s="4"/>
      <c r="AF1752" s="4"/>
      <c r="AG1752" s="4"/>
      <c r="AH1752" s="4"/>
      <c r="AI1752" s="4"/>
      <c r="AJ1752" s="4"/>
      <c r="AK1752" s="4"/>
      <c r="AL1752" s="4"/>
      <c r="AM1752" s="4"/>
      <c r="AN1752" s="4"/>
      <c r="AO1752" s="4"/>
      <c r="AP1752" s="4"/>
      <c r="AQ1752" s="4"/>
      <c r="AR1752" s="4"/>
      <c r="AS1752" s="4"/>
      <c r="AT1752" s="4"/>
      <c r="AU1752" s="4"/>
      <c r="AV1752" s="4"/>
      <c r="AW1752" s="4"/>
      <c r="AX1752" s="4"/>
      <c r="AY1752" s="4"/>
      <c r="AZ1752" s="4"/>
      <c r="BA1752" s="4"/>
      <c r="BB1752" s="4"/>
      <c r="BC1752" s="4"/>
      <c r="BD1752" s="4"/>
      <c r="BE1752" s="4"/>
      <c r="BF1752" s="4"/>
      <c r="BG1752" s="4"/>
      <c r="BH1752" s="4"/>
      <c r="BI1752" s="4"/>
      <c r="BJ1752" s="4"/>
      <c r="BK1752" s="4"/>
      <c r="BL1752" s="4"/>
      <c r="BM1752" s="4"/>
      <c r="BN1752" s="4"/>
      <c r="BO1752" s="4"/>
      <c r="BP1752" s="4"/>
      <c r="BQ1752" s="4"/>
      <c r="BR1752" s="4"/>
      <c r="BS1752" s="4"/>
      <c r="BT1752" s="4"/>
      <c r="BU1752" s="4"/>
      <c r="BV1752" s="4"/>
      <c r="BW1752" s="4"/>
      <c r="BX1752" s="4"/>
      <c r="BY1752" s="4"/>
      <c r="BZ1752" s="4"/>
      <c r="CA1752" s="4"/>
      <c r="CB1752" s="4"/>
      <c r="CC1752" s="4"/>
      <c r="CD1752" s="4"/>
      <c r="CE1752" s="4"/>
      <c r="CF1752" s="4"/>
      <c r="CG1752" s="4"/>
      <c r="CH1752" s="4"/>
      <c r="CI1752" s="4"/>
      <c r="CJ1752" s="4"/>
      <c r="CK1752" s="4"/>
      <c r="CL1752" s="4"/>
      <c r="CM1752" s="4"/>
      <c r="CN1752" s="4"/>
      <c r="CO1752" s="4"/>
      <c r="CP1752" s="4"/>
      <c r="CQ1752" s="4"/>
      <c r="CR1752" s="4"/>
      <c r="CS1752" s="4"/>
      <c r="CT1752" s="4"/>
      <c r="CU1752" s="4"/>
      <c r="CV1752" s="4"/>
      <c r="CW1752" s="4"/>
      <c r="CX1752" s="4"/>
      <c r="CY1752" s="4"/>
      <c r="CZ1752" s="4"/>
      <c r="DA1752" s="4"/>
      <c r="DB1752" s="4"/>
      <c r="DC1752" s="4"/>
      <c r="DD1752" s="4"/>
      <c r="DE1752" s="4"/>
      <c r="DF1752" s="4"/>
      <c r="DG1752" s="4"/>
      <c r="DH1752" s="4"/>
      <c r="DI1752" s="4"/>
      <c r="DJ1752" s="4"/>
      <c r="DK1752" s="4"/>
      <c r="DL1752" s="4"/>
      <c r="DM1752" s="4"/>
      <c r="DN1752" s="4"/>
      <c r="DO1752" s="4"/>
      <c r="DP1752" s="4"/>
      <c r="DQ1752" s="4"/>
      <c r="DR1752" s="4"/>
    </row>
    <row r="1753" spans="1:122" x14ac:dyDescent="0.25">
      <c r="A1753" s="2" t="s">
        <v>15</v>
      </c>
      <c r="B1753" s="2" t="str">
        <f>"FES1162769737"</f>
        <v>FES1162769737</v>
      </c>
      <c r="C1753" s="2" t="s">
        <v>1190</v>
      </c>
      <c r="D1753" s="2">
        <v>1</v>
      </c>
      <c r="E1753" s="2" t="str">
        <f>"2170756915"</f>
        <v>2170756915</v>
      </c>
      <c r="F1753" s="2" t="s">
        <v>17</v>
      </c>
      <c r="G1753" s="2" t="s">
        <v>18</v>
      </c>
      <c r="H1753" s="2" t="s">
        <v>25</v>
      </c>
      <c r="I1753" s="2" t="s">
        <v>26</v>
      </c>
      <c r="J1753" s="2" t="s">
        <v>422</v>
      </c>
      <c r="K1753" s="2" t="s">
        <v>1266</v>
      </c>
      <c r="L1753" s="3">
        <v>0.39513888888888887</v>
      </c>
      <c r="M1753" s="2" t="s">
        <v>813</v>
      </c>
      <c r="N1753" s="2" t="s">
        <v>500</v>
      </c>
      <c r="O1753" s="2"/>
      <c r="P1753" s="4"/>
      <c r="Q1753" s="4"/>
      <c r="R1753" s="4"/>
      <c r="S1753" s="4"/>
      <c r="T1753" s="4"/>
      <c r="U1753" s="4"/>
      <c r="V1753" s="4"/>
      <c r="W1753" s="4"/>
      <c r="X1753" s="4"/>
      <c r="Y1753" s="4"/>
      <c r="Z1753" s="4"/>
      <c r="AA1753" s="4"/>
      <c r="AB1753" s="4"/>
      <c r="AC1753" s="4"/>
      <c r="AD1753" s="4"/>
      <c r="AE1753" s="4"/>
      <c r="AF1753" s="4"/>
      <c r="AG1753" s="4"/>
      <c r="AH1753" s="4"/>
      <c r="AI1753" s="4"/>
      <c r="AJ1753" s="4"/>
      <c r="AK1753" s="4"/>
      <c r="AL1753" s="4"/>
      <c r="AM1753" s="4"/>
      <c r="AN1753" s="4"/>
      <c r="AO1753" s="4"/>
      <c r="AP1753" s="4"/>
      <c r="AQ1753" s="4"/>
      <c r="AR1753" s="4"/>
      <c r="AS1753" s="4"/>
      <c r="AT1753" s="4"/>
      <c r="AU1753" s="4"/>
      <c r="AV1753" s="4"/>
      <c r="AW1753" s="4"/>
      <c r="AX1753" s="4"/>
      <c r="AY1753" s="4"/>
      <c r="AZ1753" s="4"/>
      <c r="BA1753" s="4"/>
      <c r="BB1753" s="4"/>
      <c r="BC1753" s="4"/>
      <c r="BD1753" s="4"/>
      <c r="BE1753" s="4"/>
      <c r="BF1753" s="4"/>
      <c r="BG1753" s="4"/>
      <c r="BH1753" s="4"/>
      <c r="BI1753" s="4"/>
      <c r="BJ1753" s="4"/>
      <c r="BK1753" s="4"/>
      <c r="BL1753" s="4"/>
      <c r="BM1753" s="4"/>
      <c r="BN1753" s="4"/>
      <c r="BO1753" s="4"/>
      <c r="BP1753" s="4"/>
      <c r="BQ1753" s="4"/>
      <c r="BR1753" s="4"/>
      <c r="BS1753" s="4"/>
      <c r="BT1753" s="4"/>
      <c r="BU1753" s="4"/>
      <c r="BV1753" s="4"/>
      <c r="BW1753" s="4"/>
      <c r="BX1753" s="4"/>
      <c r="BY1753" s="4"/>
      <c r="BZ1753" s="4"/>
      <c r="CA1753" s="4"/>
      <c r="CB1753" s="4"/>
      <c r="CC1753" s="4"/>
      <c r="CD1753" s="4"/>
      <c r="CE1753" s="4"/>
      <c r="CF1753" s="4"/>
      <c r="CG1753" s="4"/>
      <c r="CH1753" s="4"/>
      <c r="CI1753" s="4"/>
      <c r="CJ1753" s="4"/>
      <c r="CK1753" s="4"/>
      <c r="CL1753" s="4"/>
      <c r="CM1753" s="4"/>
      <c r="CN1753" s="4"/>
      <c r="CO1753" s="4"/>
      <c r="CP1753" s="4"/>
      <c r="CQ1753" s="4"/>
      <c r="CR1753" s="4"/>
      <c r="CS1753" s="4"/>
      <c r="CT1753" s="4"/>
      <c r="CU1753" s="4"/>
      <c r="CV1753" s="4"/>
      <c r="CW1753" s="4"/>
      <c r="CX1753" s="4"/>
      <c r="CY1753" s="4"/>
      <c r="CZ1753" s="4"/>
      <c r="DA1753" s="4"/>
      <c r="DB1753" s="4"/>
      <c r="DC1753" s="4"/>
      <c r="DD1753" s="4"/>
      <c r="DE1753" s="4"/>
      <c r="DF1753" s="4"/>
      <c r="DG1753" s="4"/>
      <c r="DH1753" s="4"/>
      <c r="DI1753" s="4"/>
      <c r="DJ1753" s="4"/>
      <c r="DK1753" s="4"/>
      <c r="DL1753" s="4"/>
      <c r="DM1753" s="4"/>
      <c r="DN1753" s="4"/>
      <c r="DO1753" s="4"/>
      <c r="DP1753" s="4"/>
      <c r="DQ1753" s="4"/>
      <c r="DR1753" s="4"/>
    </row>
    <row r="1754" spans="1:122" x14ac:dyDescent="0.25">
      <c r="A1754" s="2" t="s">
        <v>15</v>
      </c>
      <c r="B1754" s="2" t="str">
        <f>"FES1162769762"</f>
        <v>FES1162769762</v>
      </c>
      <c r="C1754" s="2" t="s">
        <v>1190</v>
      </c>
      <c r="D1754" s="2">
        <v>1</v>
      </c>
      <c r="E1754" s="2" t="str">
        <f>"2170756979"</f>
        <v>2170756979</v>
      </c>
      <c r="F1754" s="2" t="s">
        <v>17</v>
      </c>
      <c r="G1754" s="2" t="s">
        <v>18</v>
      </c>
      <c r="H1754" s="2" t="s">
        <v>88</v>
      </c>
      <c r="I1754" s="2" t="s">
        <v>612</v>
      </c>
      <c r="J1754" s="2" t="s">
        <v>1126</v>
      </c>
      <c r="K1754" s="2" t="s">
        <v>1266</v>
      </c>
      <c r="L1754" s="3">
        <v>0.63541666666666663</v>
      </c>
      <c r="M1754" s="2" t="s">
        <v>220</v>
      </c>
      <c r="N1754" s="2" t="s">
        <v>500</v>
      </c>
      <c r="O1754" s="2"/>
      <c r="P1754" s="4"/>
      <c r="Q1754" s="4"/>
      <c r="R1754" s="4"/>
      <c r="S1754" s="4"/>
      <c r="T1754" s="4"/>
      <c r="U1754" s="4"/>
      <c r="V1754" s="4"/>
      <c r="W1754" s="4"/>
      <c r="X1754" s="4"/>
      <c r="Y1754" s="4"/>
      <c r="Z1754" s="4"/>
      <c r="AA1754" s="4"/>
      <c r="AB1754" s="4"/>
      <c r="AC1754" s="4"/>
      <c r="AD1754" s="4"/>
      <c r="AE1754" s="4"/>
      <c r="AF1754" s="4"/>
      <c r="AG1754" s="4"/>
      <c r="AH1754" s="4"/>
      <c r="AI1754" s="4"/>
      <c r="AJ1754" s="4"/>
      <c r="AK1754" s="4"/>
      <c r="AL1754" s="4"/>
      <c r="AM1754" s="4"/>
      <c r="AN1754" s="4"/>
      <c r="AO1754" s="4"/>
      <c r="AP1754" s="4"/>
      <c r="AQ1754" s="4"/>
      <c r="AR1754" s="4"/>
      <c r="AS1754" s="4"/>
      <c r="AT1754" s="4"/>
      <c r="AU1754" s="4"/>
      <c r="AV1754" s="4"/>
      <c r="AW1754" s="4"/>
      <c r="AX1754" s="4"/>
      <c r="AY1754" s="4"/>
      <c r="AZ1754" s="4"/>
      <c r="BA1754" s="4"/>
      <c r="BB1754" s="4"/>
      <c r="BC1754" s="4"/>
      <c r="BD1754" s="4"/>
      <c r="BE1754" s="4"/>
      <c r="BF1754" s="4"/>
      <c r="BG1754" s="4"/>
      <c r="BH1754" s="4"/>
      <c r="BI1754" s="4"/>
      <c r="BJ1754" s="4"/>
      <c r="BK1754" s="4"/>
      <c r="BL1754" s="4"/>
      <c r="BM1754" s="4"/>
      <c r="BN1754" s="4"/>
      <c r="BO1754" s="4"/>
      <c r="BP1754" s="4"/>
      <c r="BQ1754" s="4"/>
      <c r="BR1754" s="4"/>
      <c r="BS1754" s="4"/>
      <c r="BT1754" s="4"/>
      <c r="BU1754" s="4"/>
      <c r="BV1754" s="4"/>
      <c r="BW1754" s="4"/>
      <c r="BX1754" s="4"/>
      <c r="BY1754" s="4"/>
      <c r="BZ1754" s="4"/>
      <c r="CA1754" s="4"/>
      <c r="CB1754" s="4"/>
      <c r="CC1754" s="4"/>
      <c r="CD1754" s="4"/>
      <c r="CE1754" s="4"/>
      <c r="CF1754" s="4"/>
      <c r="CG1754" s="4"/>
      <c r="CH1754" s="4"/>
      <c r="CI1754" s="4"/>
      <c r="CJ1754" s="4"/>
      <c r="CK1754" s="4"/>
      <c r="CL1754" s="4"/>
      <c r="CM1754" s="4"/>
      <c r="CN1754" s="4"/>
      <c r="CO1754" s="4"/>
      <c r="CP1754" s="4"/>
      <c r="CQ1754" s="4"/>
      <c r="CR1754" s="4"/>
      <c r="CS1754" s="4"/>
      <c r="CT1754" s="4"/>
      <c r="CU1754" s="4"/>
      <c r="CV1754" s="4"/>
      <c r="CW1754" s="4"/>
      <c r="CX1754" s="4"/>
      <c r="CY1754" s="4"/>
      <c r="CZ1754" s="4"/>
      <c r="DA1754" s="4"/>
      <c r="DB1754" s="4"/>
      <c r="DC1754" s="4"/>
      <c r="DD1754" s="4"/>
      <c r="DE1754" s="4"/>
      <c r="DF1754" s="4"/>
      <c r="DG1754" s="4"/>
      <c r="DH1754" s="4"/>
      <c r="DI1754" s="4"/>
      <c r="DJ1754" s="4"/>
      <c r="DK1754" s="4"/>
      <c r="DL1754" s="4"/>
      <c r="DM1754" s="4"/>
      <c r="DN1754" s="4"/>
      <c r="DO1754" s="4"/>
      <c r="DP1754" s="4"/>
      <c r="DQ1754" s="4"/>
      <c r="DR1754" s="4"/>
    </row>
    <row r="1755" spans="1:122" x14ac:dyDescent="0.25">
      <c r="A1755" s="2" t="s">
        <v>15</v>
      </c>
      <c r="B1755" s="2" t="str">
        <f>"FES1162769693"</f>
        <v>FES1162769693</v>
      </c>
      <c r="C1755" s="2" t="s">
        <v>1190</v>
      </c>
      <c r="D1755" s="2">
        <v>1</v>
      </c>
      <c r="E1755" s="2" t="str">
        <f>"2170756819"</f>
        <v>2170756819</v>
      </c>
      <c r="F1755" s="2" t="s">
        <v>17</v>
      </c>
      <c r="G1755" s="2" t="s">
        <v>18</v>
      </c>
      <c r="H1755" s="2" t="s">
        <v>25</v>
      </c>
      <c r="I1755" s="2" t="s">
        <v>26</v>
      </c>
      <c r="J1755" s="2" t="s">
        <v>75</v>
      </c>
      <c r="K1755" s="2" t="s">
        <v>1266</v>
      </c>
      <c r="L1755" s="3">
        <v>0.33402777777777781</v>
      </c>
      <c r="M1755" s="2" t="s">
        <v>1329</v>
      </c>
      <c r="N1755" s="2" t="s">
        <v>500</v>
      </c>
      <c r="O1755" s="2"/>
      <c r="P1755" s="4"/>
      <c r="Q1755" s="4"/>
      <c r="R1755" s="4"/>
      <c r="S1755" s="4"/>
      <c r="T1755" s="4"/>
      <c r="U1755" s="4"/>
      <c r="V1755" s="4"/>
      <c r="W1755" s="4"/>
      <c r="X1755" s="4"/>
      <c r="Y1755" s="4"/>
      <c r="Z1755" s="4"/>
      <c r="AA1755" s="4"/>
      <c r="AB1755" s="4"/>
      <c r="AC1755" s="4"/>
      <c r="AD1755" s="4"/>
      <c r="AE1755" s="4"/>
      <c r="AF1755" s="4"/>
      <c r="AG1755" s="4"/>
      <c r="AH1755" s="4"/>
      <c r="AI1755" s="4"/>
      <c r="AJ1755" s="4"/>
      <c r="AK1755" s="4"/>
      <c r="AL1755" s="4"/>
      <c r="AM1755" s="4"/>
      <c r="AN1755" s="4"/>
      <c r="AO1755" s="4"/>
      <c r="AP1755" s="4"/>
      <c r="AQ1755" s="4"/>
      <c r="AR1755" s="4"/>
      <c r="AS1755" s="4"/>
      <c r="AT1755" s="4"/>
      <c r="AU1755" s="4"/>
      <c r="AV1755" s="4"/>
      <c r="AW1755" s="4"/>
      <c r="AX1755" s="4"/>
      <c r="AY1755" s="4"/>
      <c r="AZ1755" s="4"/>
      <c r="BA1755" s="4"/>
      <c r="BB1755" s="4"/>
      <c r="BC1755" s="4"/>
      <c r="BD1755" s="4"/>
      <c r="BE1755" s="4"/>
      <c r="BF1755" s="4"/>
      <c r="BG1755" s="4"/>
      <c r="BH1755" s="4"/>
      <c r="BI1755" s="4"/>
      <c r="BJ1755" s="4"/>
      <c r="BK1755" s="4"/>
      <c r="BL1755" s="4"/>
      <c r="BM1755" s="4"/>
      <c r="BN1755" s="4"/>
      <c r="BO1755" s="4"/>
      <c r="BP1755" s="4"/>
      <c r="BQ1755" s="4"/>
      <c r="BR1755" s="4"/>
      <c r="BS1755" s="4"/>
      <c r="BT1755" s="4"/>
      <c r="BU1755" s="4"/>
      <c r="BV1755" s="4"/>
      <c r="BW1755" s="4"/>
      <c r="BX1755" s="4"/>
      <c r="BY1755" s="4"/>
      <c r="BZ1755" s="4"/>
      <c r="CA1755" s="4"/>
      <c r="CB1755" s="4"/>
      <c r="CC1755" s="4"/>
      <c r="CD1755" s="4"/>
      <c r="CE1755" s="4"/>
      <c r="CF1755" s="4"/>
      <c r="CG1755" s="4"/>
      <c r="CH1755" s="4"/>
      <c r="CI1755" s="4"/>
      <c r="CJ1755" s="4"/>
      <c r="CK1755" s="4"/>
      <c r="CL1755" s="4"/>
      <c r="CM1755" s="4"/>
      <c r="CN1755" s="4"/>
      <c r="CO1755" s="4"/>
      <c r="CP1755" s="4"/>
      <c r="CQ1755" s="4"/>
      <c r="CR1755" s="4"/>
      <c r="CS1755" s="4"/>
      <c r="CT1755" s="4"/>
      <c r="CU1755" s="4"/>
      <c r="CV1755" s="4"/>
      <c r="CW1755" s="4"/>
      <c r="CX1755" s="4"/>
      <c r="CY1755" s="4"/>
      <c r="CZ1755" s="4"/>
      <c r="DA1755" s="4"/>
      <c r="DB1755" s="4"/>
      <c r="DC1755" s="4"/>
      <c r="DD1755" s="4"/>
      <c r="DE1755" s="4"/>
      <c r="DF1755" s="4"/>
      <c r="DG1755" s="4"/>
      <c r="DH1755" s="4"/>
      <c r="DI1755" s="4"/>
      <c r="DJ1755" s="4"/>
      <c r="DK1755" s="4"/>
      <c r="DL1755" s="4"/>
      <c r="DM1755" s="4"/>
      <c r="DN1755" s="4"/>
      <c r="DO1755" s="4"/>
      <c r="DP1755" s="4"/>
      <c r="DQ1755" s="4"/>
      <c r="DR1755" s="4"/>
    </row>
    <row r="1756" spans="1:122" x14ac:dyDescent="0.25">
      <c r="A1756" s="2" t="s">
        <v>15</v>
      </c>
      <c r="B1756" s="2" t="str">
        <f>"FES1162769637"</f>
        <v>FES1162769637</v>
      </c>
      <c r="C1756" s="2" t="s">
        <v>1190</v>
      </c>
      <c r="D1756" s="2">
        <v>1</v>
      </c>
      <c r="E1756" s="2" t="str">
        <f>"2170756719"</f>
        <v>2170756719</v>
      </c>
      <c r="F1756" s="2" t="s">
        <v>17</v>
      </c>
      <c r="G1756" s="2" t="s">
        <v>18</v>
      </c>
      <c r="H1756" s="2" t="s">
        <v>36</v>
      </c>
      <c r="I1756" s="2" t="s">
        <v>37</v>
      </c>
      <c r="J1756" s="2" t="s">
        <v>55</v>
      </c>
      <c r="K1756" s="2" t="s">
        <v>1266</v>
      </c>
      <c r="L1756" s="3">
        <v>0.36874999999999997</v>
      </c>
      <c r="M1756" s="2" t="s">
        <v>970</v>
      </c>
      <c r="N1756" s="2" t="s">
        <v>500</v>
      </c>
      <c r="O1756" s="2"/>
      <c r="P1756" s="4"/>
      <c r="Q1756" s="4"/>
      <c r="R1756" s="4"/>
      <c r="S1756" s="4"/>
      <c r="T1756" s="4"/>
      <c r="U1756" s="4"/>
      <c r="V1756" s="4"/>
      <c r="W1756" s="4"/>
      <c r="X1756" s="4"/>
      <c r="Y1756" s="4"/>
      <c r="Z1756" s="4"/>
      <c r="AA1756" s="4"/>
      <c r="AB1756" s="4"/>
      <c r="AC1756" s="4"/>
      <c r="AD1756" s="4"/>
      <c r="AE1756" s="4"/>
      <c r="AF1756" s="4"/>
      <c r="AG1756" s="4"/>
      <c r="AH1756" s="4"/>
      <c r="AI1756" s="4"/>
      <c r="AJ1756" s="4"/>
      <c r="AK1756" s="4"/>
      <c r="AL1756" s="4"/>
      <c r="AM1756" s="4"/>
      <c r="AN1756" s="4"/>
      <c r="AO1756" s="4"/>
      <c r="AP1756" s="4"/>
      <c r="AQ1756" s="4"/>
      <c r="AR1756" s="4"/>
      <c r="AS1756" s="4"/>
      <c r="AT1756" s="4"/>
      <c r="AU1756" s="4"/>
      <c r="AV1756" s="4"/>
      <c r="AW1756" s="4"/>
      <c r="AX1756" s="4"/>
      <c r="AY1756" s="4"/>
      <c r="AZ1756" s="4"/>
      <c r="BA1756" s="4"/>
      <c r="BB1756" s="4"/>
      <c r="BC1756" s="4"/>
      <c r="BD1756" s="4"/>
      <c r="BE1756" s="4"/>
      <c r="BF1756" s="4"/>
      <c r="BG1756" s="4"/>
      <c r="BH1756" s="4"/>
      <c r="BI1756" s="4"/>
      <c r="BJ1756" s="4"/>
      <c r="BK1756" s="4"/>
      <c r="BL1756" s="4"/>
      <c r="BM1756" s="4"/>
      <c r="BN1756" s="4"/>
      <c r="BO1756" s="4"/>
      <c r="BP1756" s="4"/>
      <c r="BQ1756" s="4"/>
      <c r="BR1756" s="4"/>
      <c r="BS1756" s="4"/>
      <c r="BT1756" s="4"/>
      <c r="BU1756" s="4"/>
      <c r="BV1756" s="4"/>
      <c r="BW1756" s="4"/>
      <c r="BX1756" s="4"/>
      <c r="BY1756" s="4"/>
      <c r="BZ1756" s="4"/>
      <c r="CA1756" s="4"/>
      <c r="CB1756" s="4"/>
      <c r="CC1756" s="4"/>
      <c r="CD1756" s="4"/>
      <c r="CE1756" s="4"/>
      <c r="CF1756" s="4"/>
      <c r="CG1756" s="4"/>
      <c r="CH1756" s="4"/>
      <c r="CI1756" s="4"/>
      <c r="CJ1756" s="4"/>
      <c r="CK1756" s="4"/>
      <c r="CL1756" s="4"/>
      <c r="CM1756" s="4"/>
      <c r="CN1756" s="4"/>
      <c r="CO1756" s="4"/>
      <c r="CP1756" s="4"/>
      <c r="CQ1756" s="4"/>
      <c r="CR1756" s="4"/>
      <c r="CS1756" s="4"/>
      <c r="CT1756" s="4"/>
      <c r="CU1756" s="4"/>
      <c r="CV1756" s="4"/>
      <c r="CW1756" s="4"/>
      <c r="CX1756" s="4"/>
      <c r="CY1756" s="4"/>
      <c r="CZ1756" s="4"/>
      <c r="DA1756" s="4"/>
      <c r="DB1756" s="4"/>
      <c r="DC1756" s="4"/>
      <c r="DD1756" s="4"/>
      <c r="DE1756" s="4"/>
      <c r="DF1756" s="4"/>
      <c r="DG1756" s="4"/>
      <c r="DH1756" s="4"/>
      <c r="DI1756" s="4"/>
      <c r="DJ1756" s="4"/>
      <c r="DK1756" s="4"/>
      <c r="DL1756" s="4"/>
      <c r="DM1756" s="4"/>
      <c r="DN1756" s="4"/>
      <c r="DO1756" s="4"/>
      <c r="DP1756" s="4"/>
      <c r="DQ1756" s="4"/>
      <c r="DR1756" s="4"/>
    </row>
    <row r="1757" spans="1:122" x14ac:dyDescent="0.25">
      <c r="A1757" s="2" t="s">
        <v>15</v>
      </c>
      <c r="B1757" s="2" t="str">
        <f>"FES1162769675"</f>
        <v>FES1162769675</v>
      </c>
      <c r="C1757" s="2" t="s">
        <v>1190</v>
      </c>
      <c r="D1757" s="2">
        <v>1</v>
      </c>
      <c r="E1757" s="2" t="str">
        <f>"2170756783"</f>
        <v>2170756783</v>
      </c>
      <c r="F1757" s="2" t="s">
        <v>17</v>
      </c>
      <c r="G1757" s="2" t="s">
        <v>18</v>
      </c>
      <c r="H1757" s="2" t="s">
        <v>25</v>
      </c>
      <c r="I1757" s="2" t="s">
        <v>26</v>
      </c>
      <c r="J1757" s="2" t="s">
        <v>353</v>
      </c>
      <c r="K1757" s="2" t="s">
        <v>1266</v>
      </c>
      <c r="L1757" s="3">
        <v>0.41666666666666669</v>
      </c>
      <c r="M1757" s="2" t="s">
        <v>1360</v>
      </c>
      <c r="N1757" s="2" t="s">
        <v>500</v>
      </c>
      <c r="O1757" s="2"/>
      <c r="P1757" s="4"/>
      <c r="Q1757" s="4"/>
      <c r="R1757" s="4"/>
      <c r="S1757" s="4"/>
      <c r="T1757" s="4"/>
      <c r="U1757" s="4"/>
      <c r="V1757" s="4"/>
      <c r="W1757" s="4"/>
      <c r="X1757" s="4"/>
      <c r="Y1757" s="4"/>
      <c r="Z1757" s="4"/>
      <c r="AA1757" s="4"/>
      <c r="AB1757" s="4"/>
      <c r="AC1757" s="4"/>
      <c r="AD1757" s="4"/>
      <c r="AE1757" s="4"/>
      <c r="AF1757" s="4"/>
      <c r="AG1757" s="4"/>
      <c r="AH1757" s="4"/>
      <c r="AI1757" s="4"/>
      <c r="AJ1757" s="4"/>
      <c r="AK1757" s="4"/>
      <c r="AL1757" s="4"/>
      <c r="AM1757" s="4"/>
      <c r="AN1757" s="4"/>
      <c r="AO1757" s="4"/>
      <c r="AP1757" s="4"/>
      <c r="AQ1757" s="4"/>
      <c r="AR1757" s="4"/>
      <c r="AS1757" s="4"/>
      <c r="AT1757" s="4"/>
      <c r="AU1757" s="4"/>
      <c r="AV1757" s="4"/>
      <c r="AW1757" s="4"/>
      <c r="AX1757" s="4"/>
      <c r="AY1757" s="4"/>
      <c r="AZ1757" s="4"/>
      <c r="BA1757" s="4"/>
      <c r="BB1757" s="4"/>
      <c r="BC1757" s="4"/>
      <c r="BD1757" s="4"/>
      <c r="BE1757" s="4"/>
      <c r="BF1757" s="4"/>
      <c r="BG1757" s="4"/>
      <c r="BH1757" s="4"/>
      <c r="BI1757" s="4"/>
      <c r="BJ1757" s="4"/>
      <c r="BK1757" s="4"/>
      <c r="BL1757" s="4"/>
      <c r="BM1757" s="4"/>
      <c r="BN1757" s="4"/>
      <c r="BO1757" s="4"/>
      <c r="BP1757" s="4"/>
      <c r="BQ1757" s="4"/>
      <c r="BR1757" s="4"/>
      <c r="BS1757" s="4"/>
      <c r="BT1757" s="4"/>
      <c r="BU1757" s="4"/>
      <c r="BV1757" s="4"/>
      <c r="BW1757" s="4"/>
      <c r="BX1757" s="4"/>
      <c r="BY1757" s="4"/>
      <c r="BZ1757" s="4"/>
      <c r="CA1757" s="4"/>
      <c r="CB1757" s="4"/>
      <c r="CC1757" s="4"/>
      <c r="CD1757" s="4"/>
      <c r="CE1757" s="4"/>
      <c r="CF1757" s="4"/>
      <c r="CG1757" s="4"/>
      <c r="CH1757" s="4"/>
      <c r="CI1757" s="4"/>
      <c r="CJ1757" s="4"/>
      <c r="CK1757" s="4"/>
      <c r="CL1757" s="4"/>
      <c r="CM1757" s="4"/>
      <c r="CN1757" s="4"/>
      <c r="CO1757" s="4"/>
      <c r="CP1757" s="4"/>
      <c r="CQ1757" s="4"/>
      <c r="CR1757" s="4"/>
      <c r="CS1757" s="4"/>
      <c r="CT1757" s="4"/>
      <c r="CU1757" s="4"/>
      <c r="CV1757" s="4"/>
      <c r="CW1757" s="4"/>
      <c r="CX1757" s="4"/>
      <c r="CY1757" s="4"/>
      <c r="CZ1757" s="4"/>
      <c r="DA1757" s="4"/>
      <c r="DB1757" s="4"/>
      <c r="DC1757" s="4"/>
      <c r="DD1757" s="4"/>
      <c r="DE1757" s="4"/>
      <c r="DF1757" s="4"/>
      <c r="DG1757" s="4"/>
      <c r="DH1757" s="4"/>
      <c r="DI1757" s="4"/>
      <c r="DJ1757" s="4"/>
      <c r="DK1757" s="4"/>
      <c r="DL1757" s="4"/>
      <c r="DM1757" s="4"/>
      <c r="DN1757" s="4"/>
      <c r="DO1757" s="4"/>
      <c r="DP1757" s="4"/>
      <c r="DQ1757" s="4"/>
      <c r="DR1757" s="4"/>
    </row>
    <row r="1758" spans="1:122" s="12" customFormat="1" x14ac:dyDescent="0.25">
      <c r="A1758" s="5" t="s">
        <v>15</v>
      </c>
      <c r="B1758" s="5" t="str">
        <f>"FES1162769618"</f>
        <v>FES1162769618</v>
      </c>
      <c r="C1758" s="5" t="s">
        <v>1190</v>
      </c>
      <c r="D1758" s="5">
        <v>1</v>
      </c>
      <c r="E1758" s="5" t="str">
        <f>"2170756691"</f>
        <v>2170756691</v>
      </c>
      <c r="F1758" s="5" t="s">
        <v>205</v>
      </c>
      <c r="G1758" s="5" t="s">
        <v>206</v>
      </c>
      <c r="H1758" s="5" t="s">
        <v>36</v>
      </c>
      <c r="I1758" s="5" t="s">
        <v>67</v>
      </c>
      <c r="J1758" s="5" t="s">
        <v>146</v>
      </c>
      <c r="K1758" s="5" t="s">
        <v>1353</v>
      </c>
      <c r="L1758" s="9">
        <v>0.38472222222222219</v>
      </c>
      <c r="M1758" s="5" t="s">
        <v>1812</v>
      </c>
      <c r="N1758" s="5" t="s">
        <v>500</v>
      </c>
      <c r="O1758" s="5"/>
      <c r="P1758" s="4"/>
      <c r="Q1758" s="4"/>
      <c r="R1758" s="4"/>
      <c r="S1758" s="4"/>
      <c r="T1758" s="4"/>
      <c r="U1758" s="4"/>
      <c r="V1758" s="4"/>
      <c r="W1758" s="4"/>
      <c r="X1758" s="4"/>
      <c r="Y1758" s="4"/>
      <c r="Z1758" s="4"/>
      <c r="AA1758" s="4"/>
      <c r="AB1758" s="4"/>
      <c r="AC1758" s="4"/>
      <c r="AD1758" s="4"/>
      <c r="AE1758" s="4"/>
      <c r="AF1758" s="4"/>
      <c r="AG1758" s="4"/>
      <c r="AH1758" s="4"/>
      <c r="AI1758" s="4"/>
      <c r="AJ1758" s="4"/>
      <c r="AK1758" s="4"/>
      <c r="AL1758" s="4"/>
      <c r="AM1758" s="4"/>
      <c r="AN1758" s="4"/>
      <c r="AO1758" s="4"/>
      <c r="AP1758" s="4"/>
      <c r="AQ1758" s="4"/>
      <c r="AR1758" s="4"/>
      <c r="AS1758" s="4"/>
      <c r="AT1758" s="4"/>
      <c r="AU1758" s="4"/>
      <c r="AV1758" s="4"/>
      <c r="AW1758" s="4"/>
      <c r="AX1758" s="4"/>
      <c r="AY1758" s="4"/>
      <c r="AZ1758" s="4"/>
      <c r="BA1758" s="4"/>
      <c r="BB1758" s="4"/>
      <c r="BC1758" s="4"/>
      <c r="BD1758" s="4"/>
      <c r="BE1758" s="4"/>
      <c r="BF1758" s="4"/>
      <c r="BG1758" s="4"/>
      <c r="BH1758" s="4"/>
      <c r="BI1758" s="4"/>
      <c r="BJ1758" s="4"/>
      <c r="BK1758" s="4"/>
      <c r="BL1758" s="4"/>
      <c r="BM1758" s="4"/>
      <c r="BN1758" s="4"/>
      <c r="BO1758" s="4"/>
      <c r="BP1758" s="4"/>
      <c r="BQ1758" s="4"/>
      <c r="BR1758" s="4"/>
      <c r="BS1758" s="4"/>
      <c r="BT1758" s="4"/>
      <c r="BU1758" s="4"/>
      <c r="BV1758" s="4"/>
      <c r="BW1758" s="4"/>
      <c r="BX1758" s="4"/>
      <c r="BY1758" s="4"/>
      <c r="BZ1758" s="4"/>
      <c r="CA1758" s="4"/>
      <c r="CB1758" s="4"/>
      <c r="CC1758" s="4"/>
      <c r="CD1758" s="4"/>
      <c r="CE1758" s="4"/>
      <c r="CF1758" s="4"/>
      <c r="CG1758" s="4"/>
      <c r="CH1758" s="4"/>
      <c r="CI1758" s="4"/>
      <c r="CJ1758" s="4"/>
      <c r="CK1758" s="4"/>
      <c r="CL1758" s="4"/>
      <c r="CM1758" s="4"/>
      <c r="CN1758" s="4"/>
      <c r="CO1758" s="4"/>
      <c r="CP1758" s="4"/>
      <c r="CQ1758" s="4"/>
      <c r="CR1758" s="4"/>
      <c r="CS1758" s="4"/>
      <c r="CT1758" s="4"/>
      <c r="CU1758" s="4"/>
      <c r="CV1758" s="4"/>
      <c r="CW1758" s="4"/>
      <c r="CX1758" s="4"/>
      <c r="CY1758" s="4"/>
      <c r="CZ1758" s="4"/>
      <c r="DA1758" s="4"/>
      <c r="DB1758" s="4"/>
      <c r="DC1758" s="4"/>
      <c r="DD1758" s="4"/>
      <c r="DE1758" s="4"/>
      <c r="DF1758" s="4"/>
      <c r="DG1758" s="4"/>
      <c r="DH1758" s="4"/>
      <c r="DI1758" s="4"/>
      <c r="DJ1758" s="4"/>
      <c r="DK1758" s="4"/>
      <c r="DL1758" s="4"/>
      <c r="DM1758" s="4"/>
      <c r="DN1758" s="4"/>
      <c r="DO1758" s="4"/>
      <c r="DP1758" s="4"/>
      <c r="DQ1758" s="4"/>
      <c r="DR1758" s="4"/>
    </row>
    <row r="1759" spans="1:122" x14ac:dyDescent="0.25">
      <c r="A1759" s="2" t="s">
        <v>15</v>
      </c>
      <c r="B1759" s="2" t="str">
        <f>"FES1162769969"</f>
        <v>FES1162769969</v>
      </c>
      <c r="C1759" s="2" t="s">
        <v>1190</v>
      </c>
      <c r="D1759" s="2">
        <v>1</v>
      </c>
      <c r="E1759" s="2" t="str">
        <f>"2170755632"</f>
        <v>2170755632</v>
      </c>
      <c r="F1759" s="2" t="s">
        <v>17</v>
      </c>
      <c r="G1759" s="2" t="s">
        <v>18</v>
      </c>
      <c r="H1759" s="2" t="s">
        <v>78</v>
      </c>
      <c r="I1759" s="2" t="s">
        <v>79</v>
      </c>
      <c r="J1759" s="2" t="s">
        <v>446</v>
      </c>
      <c r="K1759" s="2" t="s">
        <v>1266</v>
      </c>
      <c r="L1759" s="3">
        <v>0.67986111111111114</v>
      </c>
      <c r="M1759" s="2" t="s">
        <v>1330</v>
      </c>
      <c r="N1759" s="2" t="s">
        <v>500</v>
      </c>
      <c r="O1759" s="2"/>
      <c r="P1759" s="4"/>
      <c r="Q1759" s="4"/>
      <c r="R1759" s="4"/>
      <c r="S1759" s="4"/>
      <c r="T1759" s="4"/>
      <c r="U1759" s="4"/>
      <c r="V1759" s="4"/>
      <c r="W1759" s="4"/>
      <c r="X1759" s="4"/>
      <c r="Y1759" s="4"/>
      <c r="Z1759" s="4"/>
      <c r="AA1759" s="4"/>
      <c r="AB1759" s="4"/>
      <c r="AC1759" s="4"/>
      <c r="AD1759" s="4"/>
      <c r="AE1759" s="4"/>
      <c r="AF1759" s="4"/>
      <c r="AG1759" s="4"/>
      <c r="AH1759" s="4"/>
      <c r="AI1759" s="4"/>
      <c r="AJ1759" s="4"/>
      <c r="AK1759" s="4"/>
      <c r="AL1759" s="4"/>
      <c r="AM1759" s="4"/>
      <c r="AN1759" s="4"/>
      <c r="AO1759" s="4"/>
      <c r="AP1759" s="4"/>
      <c r="AQ1759" s="4"/>
      <c r="AR1759" s="4"/>
      <c r="AS1759" s="4"/>
      <c r="AT1759" s="4"/>
      <c r="AU1759" s="4"/>
      <c r="AV1759" s="4"/>
      <c r="AW1759" s="4"/>
      <c r="AX1759" s="4"/>
      <c r="AY1759" s="4"/>
      <c r="AZ1759" s="4"/>
      <c r="BA1759" s="4"/>
      <c r="BB1759" s="4"/>
      <c r="BC1759" s="4"/>
      <c r="BD1759" s="4"/>
      <c r="BE1759" s="4"/>
      <c r="BF1759" s="4"/>
      <c r="BG1759" s="4"/>
      <c r="BH1759" s="4"/>
      <c r="BI1759" s="4"/>
      <c r="BJ1759" s="4"/>
      <c r="BK1759" s="4"/>
      <c r="BL1759" s="4"/>
      <c r="BM1759" s="4"/>
      <c r="BN1759" s="4"/>
      <c r="BO1759" s="4"/>
      <c r="BP1759" s="4"/>
      <c r="BQ1759" s="4"/>
      <c r="BR1759" s="4"/>
      <c r="BS1759" s="4"/>
      <c r="BT1759" s="4"/>
      <c r="BU1759" s="4"/>
      <c r="BV1759" s="4"/>
      <c r="BW1759" s="4"/>
      <c r="BX1759" s="4"/>
      <c r="BY1759" s="4"/>
      <c r="BZ1759" s="4"/>
      <c r="CA1759" s="4"/>
      <c r="CB1759" s="4"/>
      <c r="CC1759" s="4"/>
      <c r="CD1759" s="4"/>
      <c r="CE1759" s="4"/>
      <c r="CF1759" s="4"/>
      <c r="CG1759" s="4"/>
      <c r="CH1759" s="4"/>
      <c r="CI1759" s="4"/>
      <c r="CJ1759" s="4"/>
      <c r="CK1759" s="4"/>
      <c r="CL1759" s="4"/>
      <c r="CM1759" s="4"/>
      <c r="CN1759" s="4"/>
      <c r="CO1759" s="4"/>
      <c r="CP1759" s="4"/>
      <c r="CQ1759" s="4"/>
      <c r="CR1759" s="4"/>
      <c r="CS1759" s="4"/>
      <c r="CT1759" s="4"/>
      <c r="CU1759" s="4"/>
      <c r="CV1759" s="4"/>
      <c r="CW1759" s="4"/>
      <c r="CX1759" s="4"/>
      <c r="CY1759" s="4"/>
      <c r="CZ1759" s="4"/>
      <c r="DA1759" s="4"/>
      <c r="DB1759" s="4"/>
      <c r="DC1759" s="4"/>
      <c r="DD1759" s="4"/>
      <c r="DE1759" s="4"/>
      <c r="DF1759" s="4"/>
      <c r="DG1759" s="4"/>
      <c r="DH1759" s="4"/>
      <c r="DI1759" s="4"/>
      <c r="DJ1759" s="4"/>
      <c r="DK1759" s="4"/>
      <c r="DL1759" s="4"/>
      <c r="DM1759" s="4"/>
      <c r="DN1759" s="4"/>
      <c r="DO1759" s="4"/>
      <c r="DP1759" s="4"/>
      <c r="DQ1759" s="4"/>
      <c r="DR1759" s="4"/>
    </row>
    <row r="1760" spans="1:122" x14ac:dyDescent="0.25">
      <c r="A1760" s="2" t="s">
        <v>15</v>
      </c>
      <c r="B1760" s="2" t="str">
        <f>"FES1162769903"</f>
        <v>FES1162769903</v>
      </c>
      <c r="C1760" s="2" t="s">
        <v>1190</v>
      </c>
      <c r="D1760" s="2">
        <v>1</v>
      </c>
      <c r="E1760" s="2" t="str">
        <f>"2170757208"</f>
        <v>2170757208</v>
      </c>
      <c r="F1760" s="2" t="s">
        <v>17</v>
      </c>
      <c r="G1760" s="2" t="s">
        <v>18</v>
      </c>
      <c r="H1760" s="2" t="s">
        <v>78</v>
      </c>
      <c r="I1760" s="2" t="s">
        <v>159</v>
      </c>
      <c r="J1760" s="2" t="s">
        <v>160</v>
      </c>
      <c r="K1760" s="2" t="s">
        <v>1266</v>
      </c>
      <c r="L1760" s="3">
        <v>0.65902777777777777</v>
      </c>
      <c r="M1760" s="2" t="s">
        <v>1106</v>
      </c>
      <c r="N1760" s="2" t="s">
        <v>500</v>
      </c>
      <c r="O1760" s="2"/>
      <c r="P1760" s="4"/>
      <c r="Q1760" s="4"/>
      <c r="R1760" s="4"/>
      <c r="S1760" s="4"/>
      <c r="T1760" s="4"/>
      <c r="U1760" s="4"/>
      <c r="V1760" s="4"/>
      <c r="W1760" s="4"/>
      <c r="X1760" s="4"/>
      <c r="Y1760" s="4"/>
      <c r="Z1760" s="4"/>
      <c r="AA1760" s="4"/>
      <c r="AB1760" s="4"/>
      <c r="AC1760" s="4"/>
      <c r="AD1760" s="4"/>
      <c r="AE1760" s="4"/>
      <c r="AF1760" s="4"/>
      <c r="AG1760" s="4"/>
      <c r="AH1760" s="4"/>
      <c r="AI1760" s="4"/>
      <c r="AJ1760" s="4"/>
      <c r="AK1760" s="4"/>
      <c r="AL1760" s="4"/>
      <c r="AM1760" s="4"/>
      <c r="AN1760" s="4"/>
      <c r="AO1760" s="4"/>
      <c r="AP1760" s="4"/>
      <c r="AQ1760" s="4"/>
      <c r="AR1760" s="4"/>
      <c r="AS1760" s="4"/>
      <c r="AT1760" s="4"/>
      <c r="AU1760" s="4"/>
      <c r="AV1760" s="4"/>
      <c r="AW1760" s="4"/>
      <c r="AX1760" s="4"/>
      <c r="AY1760" s="4"/>
      <c r="AZ1760" s="4"/>
      <c r="BA1760" s="4"/>
      <c r="BB1760" s="4"/>
      <c r="BC1760" s="4"/>
      <c r="BD1760" s="4"/>
      <c r="BE1760" s="4"/>
      <c r="BF1760" s="4"/>
      <c r="BG1760" s="4"/>
      <c r="BH1760" s="4"/>
      <c r="BI1760" s="4"/>
      <c r="BJ1760" s="4"/>
      <c r="BK1760" s="4"/>
      <c r="BL1760" s="4"/>
      <c r="BM1760" s="4"/>
      <c r="BN1760" s="4"/>
      <c r="BO1760" s="4"/>
      <c r="BP1760" s="4"/>
      <c r="BQ1760" s="4"/>
      <c r="BR1760" s="4"/>
      <c r="BS1760" s="4"/>
      <c r="BT1760" s="4"/>
      <c r="BU1760" s="4"/>
      <c r="BV1760" s="4"/>
      <c r="BW1760" s="4"/>
      <c r="BX1760" s="4"/>
      <c r="BY1760" s="4"/>
      <c r="BZ1760" s="4"/>
      <c r="CA1760" s="4"/>
      <c r="CB1760" s="4"/>
      <c r="CC1760" s="4"/>
      <c r="CD1760" s="4"/>
      <c r="CE1760" s="4"/>
      <c r="CF1760" s="4"/>
      <c r="CG1760" s="4"/>
      <c r="CH1760" s="4"/>
      <c r="CI1760" s="4"/>
      <c r="CJ1760" s="4"/>
      <c r="CK1760" s="4"/>
      <c r="CL1760" s="4"/>
      <c r="CM1760" s="4"/>
      <c r="CN1760" s="4"/>
      <c r="CO1760" s="4"/>
      <c r="CP1760" s="4"/>
      <c r="CQ1760" s="4"/>
      <c r="CR1760" s="4"/>
      <c r="CS1760" s="4"/>
      <c r="CT1760" s="4"/>
      <c r="CU1760" s="4"/>
      <c r="CV1760" s="4"/>
      <c r="CW1760" s="4"/>
      <c r="CX1760" s="4"/>
      <c r="CY1760" s="4"/>
      <c r="CZ1760" s="4"/>
      <c r="DA1760" s="4"/>
      <c r="DB1760" s="4"/>
      <c r="DC1760" s="4"/>
      <c r="DD1760" s="4"/>
      <c r="DE1760" s="4"/>
      <c r="DF1760" s="4"/>
      <c r="DG1760" s="4"/>
      <c r="DH1760" s="4"/>
      <c r="DI1760" s="4"/>
      <c r="DJ1760" s="4"/>
      <c r="DK1760" s="4"/>
      <c r="DL1760" s="4"/>
      <c r="DM1760" s="4"/>
      <c r="DN1760" s="4"/>
      <c r="DO1760" s="4"/>
      <c r="DP1760" s="4"/>
      <c r="DQ1760" s="4"/>
      <c r="DR1760" s="4"/>
    </row>
    <row r="1761" spans="1:122" x14ac:dyDescent="0.25">
      <c r="A1761" s="2" t="s">
        <v>15</v>
      </c>
      <c r="B1761" s="2" t="str">
        <f>"FES1162769862"</f>
        <v>FES1162769862</v>
      </c>
      <c r="C1761" s="2" t="s">
        <v>1190</v>
      </c>
      <c r="D1761" s="2">
        <v>1</v>
      </c>
      <c r="E1761" s="2" t="str">
        <f>"2170757160"</f>
        <v>2170757160</v>
      </c>
      <c r="F1761" s="2" t="s">
        <v>17</v>
      </c>
      <c r="G1761" s="2" t="s">
        <v>18</v>
      </c>
      <c r="H1761" s="2" t="s">
        <v>18</v>
      </c>
      <c r="I1761" s="2" t="s">
        <v>116</v>
      </c>
      <c r="J1761" s="2" t="s">
        <v>1322</v>
      </c>
      <c r="K1761" s="2" t="s">
        <v>1266</v>
      </c>
      <c r="L1761" s="3">
        <v>0.41666666666666669</v>
      </c>
      <c r="M1761" s="2" t="s">
        <v>752</v>
      </c>
      <c r="N1761" s="2" t="s">
        <v>500</v>
      </c>
      <c r="O1761" s="2"/>
      <c r="P1761" s="4"/>
      <c r="Q1761" s="4"/>
      <c r="R1761" s="4"/>
      <c r="S1761" s="4"/>
      <c r="T1761" s="4"/>
      <c r="U1761" s="4"/>
      <c r="V1761" s="4"/>
      <c r="W1761" s="4"/>
      <c r="X1761" s="4"/>
      <c r="Y1761" s="4"/>
      <c r="Z1761" s="4"/>
      <c r="AA1761" s="4"/>
      <c r="AB1761" s="4"/>
      <c r="AC1761" s="4"/>
      <c r="AD1761" s="4"/>
      <c r="AE1761" s="4"/>
      <c r="AF1761" s="4"/>
      <c r="AG1761" s="4"/>
      <c r="AH1761" s="4"/>
      <c r="AI1761" s="4"/>
      <c r="AJ1761" s="4"/>
      <c r="AK1761" s="4"/>
      <c r="AL1761" s="4"/>
      <c r="AM1761" s="4"/>
      <c r="AN1761" s="4"/>
      <c r="AO1761" s="4"/>
      <c r="AP1761" s="4"/>
      <c r="AQ1761" s="4"/>
      <c r="AR1761" s="4"/>
      <c r="AS1761" s="4"/>
      <c r="AT1761" s="4"/>
      <c r="AU1761" s="4"/>
      <c r="AV1761" s="4"/>
      <c r="AW1761" s="4"/>
      <c r="AX1761" s="4"/>
      <c r="AY1761" s="4"/>
      <c r="AZ1761" s="4"/>
      <c r="BA1761" s="4"/>
      <c r="BB1761" s="4"/>
      <c r="BC1761" s="4"/>
      <c r="BD1761" s="4"/>
      <c r="BE1761" s="4"/>
      <c r="BF1761" s="4"/>
      <c r="BG1761" s="4"/>
      <c r="BH1761" s="4"/>
      <c r="BI1761" s="4"/>
      <c r="BJ1761" s="4"/>
      <c r="BK1761" s="4"/>
      <c r="BL1761" s="4"/>
      <c r="BM1761" s="4"/>
      <c r="BN1761" s="4"/>
      <c r="BO1761" s="4"/>
      <c r="BP1761" s="4"/>
      <c r="BQ1761" s="4"/>
      <c r="BR1761" s="4"/>
      <c r="BS1761" s="4"/>
      <c r="BT1761" s="4"/>
      <c r="BU1761" s="4"/>
      <c r="BV1761" s="4"/>
      <c r="BW1761" s="4"/>
      <c r="BX1761" s="4"/>
      <c r="BY1761" s="4"/>
      <c r="BZ1761" s="4"/>
      <c r="CA1761" s="4"/>
      <c r="CB1761" s="4"/>
      <c r="CC1761" s="4"/>
      <c r="CD1761" s="4"/>
      <c r="CE1761" s="4"/>
      <c r="CF1761" s="4"/>
      <c r="CG1761" s="4"/>
      <c r="CH1761" s="4"/>
      <c r="CI1761" s="4"/>
      <c r="CJ1761" s="4"/>
      <c r="CK1761" s="4"/>
      <c r="CL1761" s="4"/>
      <c r="CM1761" s="4"/>
      <c r="CN1761" s="4"/>
      <c r="CO1761" s="4"/>
      <c r="CP1761" s="4"/>
      <c r="CQ1761" s="4"/>
      <c r="CR1761" s="4"/>
      <c r="CS1761" s="4"/>
      <c r="CT1761" s="4"/>
      <c r="CU1761" s="4"/>
      <c r="CV1761" s="4"/>
      <c r="CW1761" s="4"/>
      <c r="CX1761" s="4"/>
      <c r="CY1761" s="4"/>
      <c r="CZ1761" s="4"/>
      <c r="DA1761" s="4"/>
      <c r="DB1761" s="4"/>
      <c r="DC1761" s="4"/>
      <c r="DD1761" s="4"/>
      <c r="DE1761" s="4"/>
      <c r="DF1761" s="4"/>
      <c r="DG1761" s="4"/>
      <c r="DH1761" s="4"/>
      <c r="DI1761" s="4"/>
      <c r="DJ1761" s="4"/>
      <c r="DK1761" s="4"/>
      <c r="DL1761" s="4"/>
      <c r="DM1761" s="4"/>
      <c r="DN1761" s="4"/>
      <c r="DO1761" s="4"/>
      <c r="DP1761" s="4"/>
      <c r="DQ1761" s="4"/>
      <c r="DR1761" s="4"/>
    </row>
    <row r="1762" spans="1:122" x14ac:dyDescent="0.25">
      <c r="A1762" s="2" t="s">
        <v>15</v>
      </c>
      <c r="B1762" s="2" t="str">
        <f>"FES1162769761"</f>
        <v>FES1162769761</v>
      </c>
      <c r="C1762" s="2" t="s">
        <v>1190</v>
      </c>
      <c r="D1762" s="2">
        <v>1</v>
      </c>
      <c r="E1762" s="2" t="str">
        <f>"2170756975"</f>
        <v>2170756975</v>
      </c>
      <c r="F1762" s="2" t="s">
        <v>17</v>
      </c>
      <c r="G1762" s="2" t="s">
        <v>18</v>
      </c>
      <c r="H1762" s="2" t="s">
        <v>88</v>
      </c>
      <c r="I1762" s="2" t="s">
        <v>89</v>
      </c>
      <c r="J1762" s="2" t="s">
        <v>909</v>
      </c>
      <c r="K1762" s="2" t="s">
        <v>1266</v>
      </c>
      <c r="L1762" s="3">
        <v>0.60138888888888886</v>
      </c>
      <c r="M1762" s="2" t="s">
        <v>733</v>
      </c>
      <c r="N1762" s="2" t="s">
        <v>500</v>
      </c>
      <c r="O1762" s="2"/>
      <c r="P1762" s="4"/>
      <c r="Q1762" s="4"/>
      <c r="R1762" s="4"/>
      <c r="S1762" s="4"/>
      <c r="T1762" s="4"/>
      <c r="U1762" s="4"/>
      <c r="V1762" s="4"/>
      <c r="W1762" s="4"/>
      <c r="X1762" s="4"/>
      <c r="Y1762" s="4"/>
      <c r="Z1762" s="4"/>
      <c r="AA1762" s="4"/>
      <c r="AB1762" s="4"/>
      <c r="AC1762" s="4"/>
      <c r="AD1762" s="4"/>
      <c r="AE1762" s="4"/>
      <c r="AF1762" s="4"/>
      <c r="AG1762" s="4"/>
      <c r="AH1762" s="4"/>
      <c r="AI1762" s="4"/>
      <c r="AJ1762" s="4"/>
      <c r="AK1762" s="4"/>
      <c r="AL1762" s="4"/>
      <c r="AM1762" s="4"/>
      <c r="AN1762" s="4"/>
      <c r="AO1762" s="4"/>
      <c r="AP1762" s="4"/>
      <c r="AQ1762" s="4"/>
      <c r="AR1762" s="4"/>
      <c r="AS1762" s="4"/>
      <c r="AT1762" s="4"/>
      <c r="AU1762" s="4"/>
      <c r="AV1762" s="4"/>
      <c r="AW1762" s="4"/>
      <c r="AX1762" s="4"/>
      <c r="AY1762" s="4"/>
      <c r="AZ1762" s="4"/>
      <c r="BA1762" s="4"/>
      <c r="BB1762" s="4"/>
      <c r="BC1762" s="4"/>
      <c r="BD1762" s="4"/>
      <c r="BE1762" s="4"/>
      <c r="BF1762" s="4"/>
      <c r="BG1762" s="4"/>
      <c r="BH1762" s="4"/>
      <c r="BI1762" s="4"/>
      <c r="BJ1762" s="4"/>
      <c r="BK1762" s="4"/>
      <c r="BL1762" s="4"/>
      <c r="BM1762" s="4"/>
      <c r="BN1762" s="4"/>
      <c r="BO1762" s="4"/>
      <c r="BP1762" s="4"/>
      <c r="BQ1762" s="4"/>
      <c r="BR1762" s="4"/>
      <c r="BS1762" s="4"/>
      <c r="BT1762" s="4"/>
      <c r="BU1762" s="4"/>
      <c r="BV1762" s="4"/>
      <c r="BW1762" s="4"/>
      <c r="BX1762" s="4"/>
      <c r="BY1762" s="4"/>
      <c r="BZ1762" s="4"/>
      <c r="CA1762" s="4"/>
      <c r="CB1762" s="4"/>
      <c r="CC1762" s="4"/>
      <c r="CD1762" s="4"/>
      <c r="CE1762" s="4"/>
      <c r="CF1762" s="4"/>
      <c r="CG1762" s="4"/>
      <c r="CH1762" s="4"/>
      <c r="CI1762" s="4"/>
      <c r="CJ1762" s="4"/>
      <c r="CK1762" s="4"/>
      <c r="CL1762" s="4"/>
      <c r="CM1762" s="4"/>
      <c r="CN1762" s="4"/>
      <c r="CO1762" s="4"/>
      <c r="CP1762" s="4"/>
      <c r="CQ1762" s="4"/>
      <c r="CR1762" s="4"/>
      <c r="CS1762" s="4"/>
      <c r="CT1762" s="4"/>
      <c r="CU1762" s="4"/>
      <c r="CV1762" s="4"/>
      <c r="CW1762" s="4"/>
      <c r="CX1762" s="4"/>
      <c r="CY1762" s="4"/>
      <c r="CZ1762" s="4"/>
      <c r="DA1762" s="4"/>
      <c r="DB1762" s="4"/>
      <c r="DC1762" s="4"/>
      <c r="DD1762" s="4"/>
      <c r="DE1762" s="4"/>
      <c r="DF1762" s="4"/>
      <c r="DG1762" s="4"/>
      <c r="DH1762" s="4"/>
      <c r="DI1762" s="4"/>
      <c r="DJ1762" s="4"/>
      <c r="DK1762" s="4"/>
      <c r="DL1762" s="4"/>
      <c r="DM1762" s="4"/>
      <c r="DN1762" s="4"/>
      <c r="DO1762" s="4"/>
      <c r="DP1762" s="4"/>
      <c r="DQ1762" s="4"/>
      <c r="DR1762" s="4"/>
    </row>
    <row r="1763" spans="1:122" x14ac:dyDescent="0.25">
      <c r="A1763" s="2" t="s">
        <v>15</v>
      </c>
      <c r="B1763" s="2" t="str">
        <f>"FES1162769620"</f>
        <v>FES1162769620</v>
      </c>
      <c r="C1763" s="2" t="s">
        <v>1190</v>
      </c>
      <c r="D1763" s="2">
        <v>1</v>
      </c>
      <c r="E1763" s="2" t="str">
        <f>"2170756693"</f>
        <v>2170756693</v>
      </c>
      <c r="F1763" s="2" t="s">
        <v>17</v>
      </c>
      <c r="G1763" s="2" t="s">
        <v>18</v>
      </c>
      <c r="H1763" s="2" t="s">
        <v>30</v>
      </c>
      <c r="I1763" s="2" t="s">
        <v>444</v>
      </c>
      <c r="J1763" s="2" t="s">
        <v>445</v>
      </c>
      <c r="K1763" s="2" t="s">
        <v>1266</v>
      </c>
      <c r="L1763" s="3">
        <v>0.4694444444444445</v>
      </c>
      <c r="M1763" s="2" t="s">
        <v>1394</v>
      </c>
      <c r="N1763" s="2" t="s">
        <v>500</v>
      </c>
      <c r="O1763" s="2"/>
      <c r="P1763" s="4"/>
      <c r="Q1763" s="4"/>
      <c r="R1763" s="4"/>
      <c r="S1763" s="4"/>
      <c r="T1763" s="4"/>
      <c r="U1763" s="4"/>
      <c r="V1763" s="4"/>
      <c r="W1763" s="4"/>
      <c r="X1763" s="4"/>
      <c r="Y1763" s="4"/>
      <c r="Z1763" s="4"/>
      <c r="AA1763" s="4"/>
      <c r="AB1763" s="4"/>
      <c r="AC1763" s="4"/>
      <c r="AD1763" s="4"/>
      <c r="AE1763" s="4"/>
      <c r="AF1763" s="4"/>
      <c r="AG1763" s="4"/>
      <c r="AH1763" s="4"/>
      <c r="AI1763" s="4"/>
      <c r="AJ1763" s="4"/>
      <c r="AK1763" s="4"/>
      <c r="AL1763" s="4"/>
      <c r="AM1763" s="4"/>
      <c r="AN1763" s="4"/>
      <c r="AO1763" s="4"/>
      <c r="AP1763" s="4"/>
      <c r="AQ1763" s="4"/>
      <c r="AR1763" s="4"/>
      <c r="AS1763" s="4"/>
      <c r="AT1763" s="4"/>
      <c r="AU1763" s="4"/>
      <c r="AV1763" s="4"/>
      <c r="AW1763" s="4"/>
      <c r="AX1763" s="4"/>
      <c r="AY1763" s="4"/>
      <c r="AZ1763" s="4"/>
      <c r="BA1763" s="4"/>
      <c r="BB1763" s="4"/>
      <c r="BC1763" s="4"/>
      <c r="BD1763" s="4"/>
      <c r="BE1763" s="4"/>
      <c r="BF1763" s="4"/>
      <c r="BG1763" s="4"/>
      <c r="BH1763" s="4"/>
      <c r="BI1763" s="4"/>
      <c r="BJ1763" s="4"/>
      <c r="BK1763" s="4"/>
      <c r="BL1763" s="4"/>
      <c r="BM1763" s="4"/>
      <c r="BN1763" s="4"/>
      <c r="BO1763" s="4"/>
      <c r="BP1763" s="4"/>
      <c r="BQ1763" s="4"/>
      <c r="BR1763" s="4"/>
      <c r="BS1763" s="4"/>
      <c r="BT1763" s="4"/>
      <c r="BU1763" s="4"/>
      <c r="BV1763" s="4"/>
      <c r="BW1763" s="4"/>
      <c r="BX1763" s="4"/>
      <c r="BY1763" s="4"/>
      <c r="BZ1763" s="4"/>
      <c r="CA1763" s="4"/>
      <c r="CB1763" s="4"/>
      <c r="CC1763" s="4"/>
      <c r="CD1763" s="4"/>
      <c r="CE1763" s="4"/>
      <c r="CF1763" s="4"/>
      <c r="CG1763" s="4"/>
      <c r="CH1763" s="4"/>
      <c r="CI1763" s="4"/>
      <c r="CJ1763" s="4"/>
      <c r="CK1763" s="4"/>
      <c r="CL1763" s="4"/>
      <c r="CM1763" s="4"/>
      <c r="CN1763" s="4"/>
      <c r="CO1763" s="4"/>
      <c r="CP1763" s="4"/>
      <c r="CQ1763" s="4"/>
      <c r="CR1763" s="4"/>
      <c r="CS1763" s="4"/>
      <c r="CT1763" s="4"/>
      <c r="CU1763" s="4"/>
      <c r="CV1763" s="4"/>
      <c r="CW1763" s="4"/>
      <c r="CX1763" s="4"/>
      <c r="CY1763" s="4"/>
      <c r="CZ1763" s="4"/>
      <c r="DA1763" s="4"/>
      <c r="DB1763" s="4"/>
      <c r="DC1763" s="4"/>
      <c r="DD1763" s="4"/>
      <c r="DE1763" s="4"/>
      <c r="DF1763" s="4"/>
      <c r="DG1763" s="4"/>
      <c r="DH1763" s="4"/>
      <c r="DI1763" s="4"/>
      <c r="DJ1763" s="4"/>
      <c r="DK1763" s="4"/>
      <c r="DL1763" s="4"/>
      <c r="DM1763" s="4"/>
      <c r="DN1763" s="4"/>
      <c r="DO1763" s="4"/>
      <c r="DP1763" s="4"/>
      <c r="DQ1763" s="4"/>
      <c r="DR1763" s="4"/>
    </row>
    <row r="1764" spans="1:122" x14ac:dyDescent="0.25">
      <c r="A1764" s="2" t="s">
        <v>15</v>
      </c>
      <c r="B1764" s="2" t="str">
        <f>"FES1162769490"</f>
        <v>FES1162769490</v>
      </c>
      <c r="C1764" s="2" t="s">
        <v>1190</v>
      </c>
      <c r="D1764" s="2">
        <v>1</v>
      </c>
      <c r="E1764" s="2" t="str">
        <f>"2170754857"</f>
        <v>2170754857</v>
      </c>
      <c r="F1764" s="2" t="s">
        <v>17</v>
      </c>
      <c r="G1764" s="2" t="s">
        <v>18</v>
      </c>
      <c r="H1764" s="2" t="s">
        <v>36</v>
      </c>
      <c r="I1764" s="2" t="s">
        <v>37</v>
      </c>
      <c r="J1764" s="2" t="s">
        <v>55</v>
      </c>
      <c r="K1764" s="2" t="s">
        <v>1266</v>
      </c>
      <c r="L1764" s="3">
        <v>0.36805555555555558</v>
      </c>
      <c r="M1764" s="2" t="s">
        <v>970</v>
      </c>
      <c r="N1764" s="2" t="s">
        <v>500</v>
      </c>
      <c r="O1764" s="2"/>
      <c r="P1764" s="4"/>
      <c r="Q1764" s="4"/>
      <c r="R1764" s="4"/>
      <c r="S1764" s="4"/>
      <c r="T1764" s="4"/>
      <c r="U1764" s="4"/>
      <c r="V1764" s="4"/>
      <c r="W1764" s="4"/>
      <c r="X1764" s="4"/>
      <c r="Y1764" s="4"/>
      <c r="Z1764" s="4"/>
      <c r="AA1764" s="4"/>
      <c r="AB1764" s="4"/>
      <c r="AC1764" s="4"/>
      <c r="AD1764" s="4"/>
      <c r="AE1764" s="4"/>
      <c r="AF1764" s="4"/>
      <c r="AG1764" s="4"/>
      <c r="AH1764" s="4"/>
      <c r="AI1764" s="4"/>
      <c r="AJ1764" s="4"/>
      <c r="AK1764" s="4"/>
      <c r="AL1764" s="4"/>
      <c r="AM1764" s="4"/>
      <c r="AN1764" s="4"/>
      <c r="AO1764" s="4"/>
      <c r="AP1764" s="4"/>
      <c r="AQ1764" s="4"/>
      <c r="AR1764" s="4"/>
      <c r="AS1764" s="4"/>
      <c r="AT1764" s="4"/>
      <c r="AU1764" s="4"/>
      <c r="AV1764" s="4"/>
      <c r="AW1764" s="4"/>
      <c r="AX1764" s="4"/>
      <c r="AY1764" s="4"/>
      <c r="AZ1764" s="4"/>
      <c r="BA1764" s="4"/>
      <c r="BB1764" s="4"/>
      <c r="BC1764" s="4"/>
      <c r="BD1764" s="4"/>
      <c r="BE1764" s="4"/>
      <c r="BF1764" s="4"/>
      <c r="BG1764" s="4"/>
      <c r="BH1764" s="4"/>
      <c r="BI1764" s="4"/>
      <c r="BJ1764" s="4"/>
      <c r="BK1764" s="4"/>
      <c r="BL1764" s="4"/>
      <c r="BM1764" s="4"/>
      <c r="BN1764" s="4"/>
      <c r="BO1764" s="4"/>
      <c r="BP1764" s="4"/>
      <c r="BQ1764" s="4"/>
      <c r="BR1764" s="4"/>
      <c r="BS1764" s="4"/>
      <c r="BT1764" s="4"/>
      <c r="BU1764" s="4"/>
      <c r="BV1764" s="4"/>
      <c r="BW1764" s="4"/>
      <c r="BX1764" s="4"/>
      <c r="BY1764" s="4"/>
      <c r="BZ1764" s="4"/>
      <c r="CA1764" s="4"/>
      <c r="CB1764" s="4"/>
      <c r="CC1764" s="4"/>
      <c r="CD1764" s="4"/>
      <c r="CE1764" s="4"/>
      <c r="CF1764" s="4"/>
      <c r="CG1764" s="4"/>
      <c r="CH1764" s="4"/>
      <c r="CI1764" s="4"/>
      <c r="CJ1764" s="4"/>
      <c r="CK1764" s="4"/>
      <c r="CL1764" s="4"/>
      <c r="CM1764" s="4"/>
      <c r="CN1764" s="4"/>
      <c r="CO1764" s="4"/>
      <c r="CP1764" s="4"/>
      <c r="CQ1764" s="4"/>
      <c r="CR1764" s="4"/>
      <c r="CS1764" s="4"/>
      <c r="CT1764" s="4"/>
      <c r="CU1764" s="4"/>
      <c r="CV1764" s="4"/>
      <c r="CW1764" s="4"/>
      <c r="CX1764" s="4"/>
      <c r="CY1764" s="4"/>
      <c r="CZ1764" s="4"/>
      <c r="DA1764" s="4"/>
      <c r="DB1764" s="4"/>
      <c r="DC1764" s="4"/>
      <c r="DD1764" s="4"/>
      <c r="DE1764" s="4"/>
      <c r="DF1764" s="4"/>
      <c r="DG1764" s="4"/>
      <c r="DH1764" s="4"/>
      <c r="DI1764" s="4"/>
      <c r="DJ1764" s="4"/>
      <c r="DK1764" s="4"/>
      <c r="DL1764" s="4"/>
      <c r="DM1764" s="4"/>
      <c r="DN1764" s="4"/>
      <c r="DO1764" s="4"/>
      <c r="DP1764" s="4"/>
      <c r="DQ1764" s="4"/>
      <c r="DR1764" s="4"/>
    </row>
    <row r="1765" spans="1:122" x14ac:dyDescent="0.25">
      <c r="A1765" s="2" t="s">
        <v>15</v>
      </c>
      <c r="B1765" s="2" t="str">
        <f>"FES1162769970"</f>
        <v>FES1162769970</v>
      </c>
      <c r="C1765" s="2" t="s">
        <v>1190</v>
      </c>
      <c r="D1765" s="2">
        <v>1</v>
      </c>
      <c r="E1765" s="2" t="str">
        <f>"2170755646"</f>
        <v>2170755646</v>
      </c>
      <c r="F1765" s="2" t="s">
        <v>17</v>
      </c>
      <c r="G1765" s="2" t="s">
        <v>18</v>
      </c>
      <c r="H1765" s="2" t="s">
        <v>18</v>
      </c>
      <c r="I1765" s="2" t="s">
        <v>57</v>
      </c>
      <c r="J1765" s="2" t="s">
        <v>888</v>
      </c>
      <c r="K1765" s="2" t="s">
        <v>1266</v>
      </c>
      <c r="L1765" s="3">
        <v>0.29930555555555555</v>
      </c>
      <c r="M1765" s="2" t="s">
        <v>1206</v>
      </c>
      <c r="N1765" s="2" t="s">
        <v>500</v>
      </c>
      <c r="O1765" s="2"/>
      <c r="P1765" s="4"/>
      <c r="Q1765" s="4"/>
      <c r="R1765" s="4"/>
      <c r="S1765" s="4"/>
      <c r="T1765" s="4"/>
      <c r="U1765" s="4"/>
      <c r="V1765" s="4"/>
      <c r="W1765" s="4"/>
      <c r="X1765" s="4"/>
      <c r="Y1765" s="4"/>
      <c r="Z1765" s="4"/>
      <c r="AA1765" s="4"/>
      <c r="AB1765" s="4"/>
      <c r="AC1765" s="4"/>
      <c r="AD1765" s="4"/>
      <c r="AE1765" s="4"/>
      <c r="AF1765" s="4"/>
      <c r="AG1765" s="4"/>
      <c r="AH1765" s="4"/>
      <c r="AI1765" s="4"/>
      <c r="AJ1765" s="4"/>
      <c r="AK1765" s="4"/>
      <c r="AL1765" s="4"/>
      <c r="AM1765" s="4"/>
      <c r="AN1765" s="4"/>
      <c r="AO1765" s="4"/>
      <c r="AP1765" s="4"/>
      <c r="AQ1765" s="4"/>
      <c r="AR1765" s="4"/>
      <c r="AS1765" s="4"/>
      <c r="AT1765" s="4"/>
      <c r="AU1765" s="4"/>
      <c r="AV1765" s="4"/>
      <c r="AW1765" s="4"/>
      <c r="AX1765" s="4"/>
      <c r="AY1765" s="4"/>
      <c r="AZ1765" s="4"/>
      <c r="BA1765" s="4"/>
      <c r="BB1765" s="4"/>
      <c r="BC1765" s="4"/>
      <c r="BD1765" s="4"/>
      <c r="BE1765" s="4"/>
      <c r="BF1765" s="4"/>
      <c r="BG1765" s="4"/>
      <c r="BH1765" s="4"/>
      <c r="BI1765" s="4"/>
      <c r="BJ1765" s="4"/>
      <c r="BK1765" s="4"/>
      <c r="BL1765" s="4"/>
      <c r="BM1765" s="4"/>
      <c r="BN1765" s="4"/>
      <c r="BO1765" s="4"/>
      <c r="BP1765" s="4"/>
      <c r="BQ1765" s="4"/>
      <c r="BR1765" s="4"/>
      <c r="BS1765" s="4"/>
      <c r="BT1765" s="4"/>
      <c r="BU1765" s="4"/>
      <c r="BV1765" s="4"/>
      <c r="BW1765" s="4"/>
      <c r="BX1765" s="4"/>
      <c r="BY1765" s="4"/>
      <c r="BZ1765" s="4"/>
      <c r="CA1765" s="4"/>
      <c r="CB1765" s="4"/>
      <c r="CC1765" s="4"/>
      <c r="CD1765" s="4"/>
      <c r="CE1765" s="4"/>
      <c r="CF1765" s="4"/>
      <c r="CG1765" s="4"/>
      <c r="CH1765" s="4"/>
      <c r="CI1765" s="4"/>
      <c r="CJ1765" s="4"/>
      <c r="CK1765" s="4"/>
      <c r="CL1765" s="4"/>
      <c r="CM1765" s="4"/>
      <c r="CN1765" s="4"/>
      <c r="CO1765" s="4"/>
      <c r="CP1765" s="4"/>
      <c r="CQ1765" s="4"/>
      <c r="CR1765" s="4"/>
      <c r="CS1765" s="4"/>
      <c r="CT1765" s="4"/>
      <c r="CU1765" s="4"/>
      <c r="CV1765" s="4"/>
      <c r="CW1765" s="4"/>
      <c r="CX1765" s="4"/>
      <c r="CY1765" s="4"/>
      <c r="CZ1765" s="4"/>
      <c r="DA1765" s="4"/>
      <c r="DB1765" s="4"/>
      <c r="DC1765" s="4"/>
      <c r="DD1765" s="4"/>
      <c r="DE1765" s="4"/>
      <c r="DF1765" s="4"/>
      <c r="DG1765" s="4"/>
      <c r="DH1765" s="4"/>
      <c r="DI1765" s="4"/>
      <c r="DJ1765" s="4"/>
      <c r="DK1765" s="4"/>
      <c r="DL1765" s="4"/>
      <c r="DM1765" s="4"/>
      <c r="DN1765" s="4"/>
      <c r="DO1765" s="4"/>
      <c r="DP1765" s="4"/>
      <c r="DQ1765" s="4"/>
      <c r="DR1765" s="4"/>
    </row>
    <row r="1766" spans="1:122" x14ac:dyDescent="0.25">
      <c r="A1766" s="2" t="s">
        <v>15</v>
      </c>
      <c r="B1766" s="2" t="str">
        <f>"FES1162769590"</f>
        <v>FES1162769590</v>
      </c>
      <c r="C1766" s="2" t="s">
        <v>1190</v>
      </c>
      <c r="D1766" s="2">
        <v>1</v>
      </c>
      <c r="E1766" s="2" t="str">
        <f>"2170756641"</f>
        <v>2170756641</v>
      </c>
      <c r="F1766" s="2" t="s">
        <v>17</v>
      </c>
      <c r="G1766" s="2" t="s">
        <v>18</v>
      </c>
      <c r="H1766" s="2" t="s">
        <v>19</v>
      </c>
      <c r="I1766" s="2" t="s">
        <v>20</v>
      </c>
      <c r="J1766" s="2" t="s">
        <v>123</v>
      </c>
      <c r="K1766" s="2" t="s">
        <v>1266</v>
      </c>
      <c r="L1766" s="3">
        <v>0.40972222222222227</v>
      </c>
      <c r="M1766" s="2" t="s">
        <v>233</v>
      </c>
      <c r="N1766" s="2" t="s">
        <v>500</v>
      </c>
      <c r="O1766" s="2"/>
      <c r="P1766" s="4"/>
      <c r="Q1766" s="4"/>
      <c r="R1766" s="4"/>
      <c r="S1766" s="4"/>
      <c r="T1766" s="4"/>
      <c r="U1766" s="4"/>
      <c r="V1766" s="4"/>
      <c r="W1766" s="4"/>
      <c r="X1766" s="4"/>
      <c r="Y1766" s="4"/>
      <c r="Z1766" s="4"/>
      <c r="AA1766" s="4"/>
      <c r="AB1766" s="4"/>
      <c r="AC1766" s="4"/>
      <c r="AD1766" s="4"/>
      <c r="AE1766" s="4"/>
      <c r="AF1766" s="4"/>
      <c r="AG1766" s="4"/>
      <c r="AH1766" s="4"/>
      <c r="AI1766" s="4"/>
      <c r="AJ1766" s="4"/>
      <c r="AK1766" s="4"/>
      <c r="AL1766" s="4"/>
      <c r="AM1766" s="4"/>
      <c r="AN1766" s="4"/>
      <c r="AO1766" s="4"/>
      <c r="AP1766" s="4"/>
      <c r="AQ1766" s="4"/>
      <c r="AR1766" s="4"/>
      <c r="AS1766" s="4"/>
      <c r="AT1766" s="4"/>
      <c r="AU1766" s="4"/>
      <c r="AV1766" s="4"/>
      <c r="AW1766" s="4"/>
      <c r="AX1766" s="4"/>
      <c r="AY1766" s="4"/>
      <c r="AZ1766" s="4"/>
      <c r="BA1766" s="4"/>
      <c r="BB1766" s="4"/>
      <c r="BC1766" s="4"/>
      <c r="BD1766" s="4"/>
      <c r="BE1766" s="4"/>
      <c r="BF1766" s="4"/>
      <c r="BG1766" s="4"/>
      <c r="BH1766" s="4"/>
      <c r="BI1766" s="4"/>
      <c r="BJ1766" s="4"/>
      <c r="BK1766" s="4"/>
      <c r="BL1766" s="4"/>
      <c r="BM1766" s="4"/>
      <c r="BN1766" s="4"/>
      <c r="BO1766" s="4"/>
      <c r="BP1766" s="4"/>
      <c r="BQ1766" s="4"/>
      <c r="BR1766" s="4"/>
      <c r="BS1766" s="4"/>
      <c r="BT1766" s="4"/>
      <c r="BU1766" s="4"/>
      <c r="BV1766" s="4"/>
      <c r="BW1766" s="4"/>
      <c r="BX1766" s="4"/>
      <c r="BY1766" s="4"/>
      <c r="BZ1766" s="4"/>
      <c r="CA1766" s="4"/>
      <c r="CB1766" s="4"/>
      <c r="CC1766" s="4"/>
      <c r="CD1766" s="4"/>
      <c r="CE1766" s="4"/>
      <c r="CF1766" s="4"/>
      <c r="CG1766" s="4"/>
      <c r="CH1766" s="4"/>
      <c r="CI1766" s="4"/>
      <c r="CJ1766" s="4"/>
      <c r="CK1766" s="4"/>
      <c r="CL1766" s="4"/>
      <c r="CM1766" s="4"/>
      <c r="CN1766" s="4"/>
      <c r="CO1766" s="4"/>
      <c r="CP1766" s="4"/>
      <c r="CQ1766" s="4"/>
      <c r="CR1766" s="4"/>
      <c r="CS1766" s="4"/>
      <c r="CT1766" s="4"/>
      <c r="CU1766" s="4"/>
      <c r="CV1766" s="4"/>
      <c r="CW1766" s="4"/>
      <c r="CX1766" s="4"/>
      <c r="CY1766" s="4"/>
      <c r="CZ1766" s="4"/>
      <c r="DA1766" s="4"/>
      <c r="DB1766" s="4"/>
      <c r="DC1766" s="4"/>
      <c r="DD1766" s="4"/>
      <c r="DE1766" s="4"/>
      <c r="DF1766" s="4"/>
      <c r="DG1766" s="4"/>
      <c r="DH1766" s="4"/>
      <c r="DI1766" s="4"/>
      <c r="DJ1766" s="4"/>
      <c r="DK1766" s="4"/>
      <c r="DL1766" s="4"/>
      <c r="DM1766" s="4"/>
      <c r="DN1766" s="4"/>
      <c r="DO1766" s="4"/>
      <c r="DP1766" s="4"/>
      <c r="DQ1766" s="4"/>
      <c r="DR1766" s="4"/>
    </row>
    <row r="1767" spans="1:122" x14ac:dyDescent="0.25">
      <c r="A1767" s="2" t="s">
        <v>15</v>
      </c>
      <c r="B1767" s="2" t="str">
        <f>"FES1162769687"</f>
        <v>FES1162769687</v>
      </c>
      <c r="C1767" s="2" t="s">
        <v>1190</v>
      </c>
      <c r="D1767" s="2">
        <v>1</v>
      </c>
      <c r="E1767" s="2" t="str">
        <f>"2170756804"</f>
        <v>2170756804</v>
      </c>
      <c r="F1767" s="2" t="s">
        <v>17</v>
      </c>
      <c r="G1767" s="2" t="s">
        <v>18</v>
      </c>
      <c r="H1767" s="2" t="s">
        <v>19</v>
      </c>
      <c r="I1767" s="2" t="s">
        <v>20</v>
      </c>
      <c r="J1767" s="2" t="s">
        <v>428</v>
      </c>
      <c r="K1767" s="2" t="s">
        <v>1266</v>
      </c>
      <c r="L1767" s="3">
        <v>0.36458333333333331</v>
      </c>
      <c r="M1767" s="2" t="s">
        <v>533</v>
      </c>
      <c r="N1767" s="2" t="s">
        <v>500</v>
      </c>
      <c r="O1767" s="2"/>
      <c r="P1767" s="4"/>
      <c r="Q1767" s="4"/>
      <c r="R1767" s="4"/>
      <c r="S1767" s="4"/>
      <c r="T1767" s="4"/>
      <c r="U1767" s="4"/>
      <c r="V1767" s="4"/>
      <c r="W1767" s="4"/>
      <c r="X1767" s="4"/>
      <c r="Y1767" s="4"/>
      <c r="Z1767" s="4"/>
      <c r="AA1767" s="4"/>
      <c r="AB1767" s="4"/>
      <c r="AC1767" s="4"/>
      <c r="AD1767" s="4"/>
      <c r="AE1767" s="4"/>
      <c r="AF1767" s="4"/>
      <c r="AG1767" s="4"/>
      <c r="AH1767" s="4"/>
      <c r="AI1767" s="4"/>
      <c r="AJ1767" s="4"/>
      <c r="AK1767" s="4"/>
      <c r="AL1767" s="4"/>
      <c r="AM1767" s="4"/>
      <c r="AN1767" s="4"/>
      <c r="AO1767" s="4"/>
      <c r="AP1767" s="4"/>
      <c r="AQ1767" s="4"/>
      <c r="AR1767" s="4"/>
      <c r="AS1767" s="4"/>
      <c r="AT1767" s="4"/>
      <c r="AU1767" s="4"/>
      <c r="AV1767" s="4"/>
      <c r="AW1767" s="4"/>
      <c r="AX1767" s="4"/>
      <c r="AY1767" s="4"/>
      <c r="AZ1767" s="4"/>
      <c r="BA1767" s="4"/>
      <c r="BB1767" s="4"/>
      <c r="BC1767" s="4"/>
      <c r="BD1767" s="4"/>
      <c r="BE1767" s="4"/>
      <c r="BF1767" s="4"/>
      <c r="BG1767" s="4"/>
      <c r="BH1767" s="4"/>
      <c r="BI1767" s="4"/>
      <c r="BJ1767" s="4"/>
      <c r="BK1767" s="4"/>
      <c r="BL1767" s="4"/>
      <c r="BM1767" s="4"/>
      <c r="BN1767" s="4"/>
      <c r="BO1767" s="4"/>
      <c r="BP1767" s="4"/>
      <c r="BQ1767" s="4"/>
      <c r="BR1767" s="4"/>
      <c r="BS1767" s="4"/>
      <c r="BT1767" s="4"/>
      <c r="BU1767" s="4"/>
      <c r="BV1767" s="4"/>
      <c r="BW1767" s="4"/>
      <c r="BX1767" s="4"/>
      <c r="BY1767" s="4"/>
      <c r="BZ1767" s="4"/>
      <c r="CA1767" s="4"/>
      <c r="CB1767" s="4"/>
      <c r="CC1767" s="4"/>
      <c r="CD1767" s="4"/>
      <c r="CE1767" s="4"/>
      <c r="CF1767" s="4"/>
      <c r="CG1767" s="4"/>
      <c r="CH1767" s="4"/>
      <c r="CI1767" s="4"/>
      <c r="CJ1767" s="4"/>
      <c r="CK1767" s="4"/>
      <c r="CL1767" s="4"/>
      <c r="CM1767" s="4"/>
      <c r="CN1767" s="4"/>
      <c r="CO1767" s="4"/>
      <c r="CP1767" s="4"/>
      <c r="CQ1767" s="4"/>
      <c r="CR1767" s="4"/>
      <c r="CS1767" s="4"/>
      <c r="CT1767" s="4"/>
      <c r="CU1767" s="4"/>
      <c r="CV1767" s="4"/>
      <c r="CW1767" s="4"/>
      <c r="CX1767" s="4"/>
      <c r="CY1767" s="4"/>
      <c r="CZ1767" s="4"/>
      <c r="DA1767" s="4"/>
      <c r="DB1767" s="4"/>
      <c r="DC1767" s="4"/>
      <c r="DD1767" s="4"/>
      <c r="DE1767" s="4"/>
      <c r="DF1767" s="4"/>
      <c r="DG1767" s="4"/>
      <c r="DH1767" s="4"/>
      <c r="DI1767" s="4"/>
      <c r="DJ1767" s="4"/>
      <c r="DK1767" s="4"/>
      <c r="DL1767" s="4"/>
      <c r="DM1767" s="4"/>
      <c r="DN1767" s="4"/>
      <c r="DO1767" s="4"/>
      <c r="DP1767" s="4"/>
      <c r="DQ1767" s="4"/>
      <c r="DR1767" s="4"/>
    </row>
    <row r="1768" spans="1:122" x14ac:dyDescent="0.25">
      <c r="A1768" s="2" t="s">
        <v>15</v>
      </c>
      <c r="B1768" s="2" t="str">
        <f>"FES1162769994"</f>
        <v>FES1162769994</v>
      </c>
      <c r="C1768" s="2" t="s">
        <v>1190</v>
      </c>
      <c r="D1768" s="2">
        <v>1</v>
      </c>
      <c r="E1768" s="2" t="str">
        <f>"2170756596"</f>
        <v>2170756596</v>
      </c>
      <c r="F1768" s="2" t="s">
        <v>17</v>
      </c>
      <c r="G1768" s="2" t="s">
        <v>18</v>
      </c>
      <c r="H1768" s="2" t="s">
        <v>18</v>
      </c>
      <c r="I1768" s="2" t="s">
        <v>57</v>
      </c>
      <c r="J1768" s="2" t="s">
        <v>91</v>
      </c>
      <c r="K1768" s="2" t="s">
        <v>1266</v>
      </c>
      <c r="L1768" s="3">
        <v>0.31111111111111112</v>
      </c>
      <c r="M1768" s="2" t="s">
        <v>1395</v>
      </c>
      <c r="N1768" s="2" t="s">
        <v>500</v>
      </c>
      <c r="O1768" s="2"/>
      <c r="P1768" s="4"/>
      <c r="Q1768" s="4"/>
      <c r="R1768" s="4"/>
      <c r="S1768" s="4"/>
      <c r="T1768" s="4"/>
      <c r="U1768" s="4"/>
      <c r="V1768" s="4"/>
      <c r="W1768" s="4"/>
      <c r="X1768" s="4"/>
      <c r="Y1768" s="4"/>
      <c r="Z1768" s="4"/>
      <c r="AA1768" s="4"/>
      <c r="AB1768" s="4"/>
      <c r="AC1768" s="4"/>
      <c r="AD1768" s="4"/>
      <c r="AE1768" s="4"/>
      <c r="AF1768" s="4"/>
      <c r="AG1768" s="4"/>
      <c r="AH1768" s="4"/>
      <c r="AI1768" s="4"/>
      <c r="AJ1768" s="4"/>
      <c r="AK1768" s="4"/>
      <c r="AL1768" s="4"/>
      <c r="AM1768" s="4"/>
      <c r="AN1768" s="4"/>
      <c r="AO1768" s="4"/>
      <c r="AP1768" s="4"/>
      <c r="AQ1768" s="4"/>
      <c r="AR1768" s="4"/>
      <c r="AS1768" s="4"/>
      <c r="AT1768" s="4"/>
      <c r="AU1768" s="4"/>
      <c r="AV1768" s="4"/>
      <c r="AW1768" s="4"/>
      <c r="AX1768" s="4"/>
      <c r="AY1768" s="4"/>
      <c r="AZ1768" s="4"/>
      <c r="BA1768" s="4"/>
      <c r="BB1768" s="4"/>
      <c r="BC1768" s="4"/>
      <c r="BD1768" s="4"/>
      <c r="BE1768" s="4"/>
      <c r="BF1768" s="4"/>
      <c r="BG1768" s="4"/>
      <c r="BH1768" s="4"/>
      <c r="BI1768" s="4"/>
      <c r="BJ1768" s="4"/>
      <c r="BK1768" s="4"/>
      <c r="BL1768" s="4"/>
      <c r="BM1768" s="4"/>
      <c r="BN1768" s="4"/>
      <c r="BO1768" s="4"/>
      <c r="BP1768" s="4"/>
      <c r="BQ1768" s="4"/>
      <c r="BR1768" s="4"/>
      <c r="BS1768" s="4"/>
      <c r="BT1768" s="4"/>
      <c r="BU1768" s="4"/>
      <c r="BV1768" s="4"/>
      <c r="BW1768" s="4"/>
      <c r="BX1768" s="4"/>
      <c r="BY1768" s="4"/>
      <c r="BZ1768" s="4"/>
      <c r="CA1768" s="4"/>
      <c r="CB1768" s="4"/>
      <c r="CC1768" s="4"/>
      <c r="CD1768" s="4"/>
      <c r="CE1768" s="4"/>
      <c r="CF1768" s="4"/>
      <c r="CG1768" s="4"/>
      <c r="CH1768" s="4"/>
      <c r="CI1768" s="4"/>
      <c r="CJ1768" s="4"/>
      <c r="CK1768" s="4"/>
      <c r="CL1768" s="4"/>
      <c r="CM1768" s="4"/>
      <c r="CN1768" s="4"/>
      <c r="CO1768" s="4"/>
      <c r="CP1768" s="4"/>
      <c r="CQ1768" s="4"/>
      <c r="CR1768" s="4"/>
      <c r="CS1768" s="4"/>
      <c r="CT1768" s="4"/>
      <c r="CU1768" s="4"/>
      <c r="CV1768" s="4"/>
      <c r="CW1768" s="4"/>
      <c r="CX1768" s="4"/>
      <c r="CY1768" s="4"/>
      <c r="CZ1768" s="4"/>
      <c r="DA1768" s="4"/>
      <c r="DB1768" s="4"/>
      <c r="DC1768" s="4"/>
      <c r="DD1768" s="4"/>
      <c r="DE1768" s="4"/>
      <c r="DF1768" s="4"/>
      <c r="DG1768" s="4"/>
      <c r="DH1768" s="4"/>
      <c r="DI1768" s="4"/>
      <c r="DJ1768" s="4"/>
      <c r="DK1768" s="4"/>
      <c r="DL1768" s="4"/>
      <c r="DM1768" s="4"/>
      <c r="DN1768" s="4"/>
      <c r="DO1768" s="4"/>
      <c r="DP1768" s="4"/>
      <c r="DQ1768" s="4"/>
      <c r="DR1768" s="4"/>
    </row>
    <row r="1769" spans="1:122" x14ac:dyDescent="0.25">
      <c r="A1769" s="2" t="s">
        <v>15</v>
      </c>
      <c r="B1769" s="2" t="str">
        <f>"FES1162769985"</f>
        <v>FES1162769985</v>
      </c>
      <c r="C1769" s="2" t="s">
        <v>1190</v>
      </c>
      <c r="D1769" s="2">
        <v>1</v>
      </c>
      <c r="E1769" s="2" t="str">
        <f>"2170756112"</f>
        <v>2170756112</v>
      </c>
      <c r="F1769" s="2" t="s">
        <v>17</v>
      </c>
      <c r="G1769" s="2" t="s">
        <v>18</v>
      </c>
      <c r="H1769" s="2" t="s">
        <v>18</v>
      </c>
      <c r="I1769" s="2" t="s">
        <v>116</v>
      </c>
      <c r="J1769" s="2" t="s">
        <v>786</v>
      </c>
      <c r="K1769" s="2" t="s">
        <v>1266</v>
      </c>
      <c r="L1769" s="3">
        <v>0.43055555555555558</v>
      </c>
      <c r="M1769" s="2" t="s">
        <v>1388</v>
      </c>
      <c r="N1769" s="2" t="s">
        <v>500</v>
      </c>
      <c r="O1769" s="2"/>
      <c r="P1769" s="4"/>
      <c r="Q1769" s="4"/>
      <c r="R1769" s="4"/>
      <c r="S1769" s="4"/>
      <c r="T1769" s="4"/>
      <c r="U1769" s="4"/>
      <c r="V1769" s="4"/>
      <c r="W1769" s="4"/>
      <c r="X1769" s="4"/>
      <c r="Y1769" s="4"/>
      <c r="Z1769" s="4"/>
      <c r="AA1769" s="4"/>
      <c r="AB1769" s="4"/>
      <c r="AC1769" s="4"/>
      <c r="AD1769" s="4"/>
      <c r="AE1769" s="4"/>
      <c r="AF1769" s="4"/>
      <c r="AG1769" s="4"/>
      <c r="AH1769" s="4"/>
      <c r="AI1769" s="4"/>
      <c r="AJ1769" s="4"/>
      <c r="AK1769" s="4"/>
      <c r="AL1769" s="4"/>
      <c r="AM1769" s="4"/>
      <c r="AN1769" s="4"/>
      <c r="AO1769" s="4"/>
      <c r="AP1769" s="4"/>
      <c r="AQ1769" s="4"/>
      <c r="AR1769" s="4"/>
      <c r="AS1769" s="4"/>
      <c r="AT1769" s="4"/>
      <c r="AU1769" s="4"/>
      <c r="AV1769" s="4"/>
      <c r="AW1769" s="4"/>
      <c r="AX1769" s="4"/>
      <c r="AY1769" s="4"/>
      <c r="AZ1769" s="4"/>
      <c r="BA1769" s="4"/>
      <c r="BB1769" s="4"/>
      <c r="BC1769" s="4"/>
      <c r="BD1769" s="4"/>
      <c r="BE1769" s="4"/>
      <c r="BF1769" s="4"/>
      <c r="BG1769" s="4"/>
      <c r="BH1769" s="4"/>
      <c r="BI1769" s="4"/>
      <c r="BJ1769" s="4"/>
      <c r="BK1769" s="4"/>
      <c r="BL1769" s="4"/>
      <c r="BM1769" s="4"/>
      <c r="BN1769" s="4"/>
      <c r="BO1769" s="4"/>
      <c r="BP1769" s="4"/>
      <c r="BQ1769" s="4"/>
      <c r="BR1769" s="4"/>
      <c r="BS1769" s="4"/>
      <c r="BT1769" s="4"/>
      <c r="BU1769" s="4"/>
      <c r="BV1769" s="4"/>
      <c r="BW1769" s="4"/>
      <c r="BX1769" s="4"/>
      <c r="BY1769" s="4"/>
      <c r="BZ1769" s="4"/>
      <c r="CA1769" s="4"/>
      <c r="CB1769" s="4"/>
      <c r="CC1769" s="4"/>
      <c r="CD1769" s="4"/>
      <c r="CE1769" s="4"/>
      <c r="CF1769" s="4"/>
      <c r="CG1769" s="4"/>
      <c r="CH1769" s="4"/>
      <c r="CI1769" s="4"/>
      <c r="CJ1769" s="4"/>
      <c r="CK1769" s="4"/>
      <c r="CL1769" s="4"/>
      <c r="CM1769" s="4"/>
      <c r="CN1769" s="4"/>
      <c r="CO1769" s="4"/>
      <c r="CP1769" s="4"/>
      <c r="CQ1769" s="4"/>
      <c r="CR1769" s="4"/>
      <c r="CS1769" s="4"/>
      <c r="CT1769" s="4"/>
      <c r="CU1769" s="4"/>
      <c r="CV1769" s="4"/>
      <c r="CW1769" s="4"/>
      <c r="CX1769" s="4"/>
      <c r="CY1769" s="4"/>
      <c r="CZ1769" s="4"/>
      <c r="DA1769" s="4"/>
      <c r="DB1769" s="4"/>
      <c r="DC1769" s="4"/>
      <c r="DD1769" s="4"/>
      <c r="DE1769" s="4"/>
      <c r="DF1769" s="4"/>
      <c r="DG1769" s="4"/>
      <c r="DH1769" s="4"/>
      <c r="DI1769" s="4"/>
      <c r="DJ1769" s="4"/>
      <c r="DK1769" s="4"/>
      <c r="DL1769" s="4"/>
      <c r="DM1769" s="4"/>
      <c r="DN1769" s="4"/>
      <c r="DO1769" s="4"/>
      <c r="DP1769" s="4"/>
      <c r="DQ1769" s="4"/>
      <c r="DR1769" s="4"/>
    </row>
    <row r="1770" spans="1:122" x14ac:dyDescent="0.25">
      <c r="A1770" s="2" t="s">
        <v>15</v>
      </c>
      <c r="B1770" s="2" t="str">
        <f>"FES1162769980"</f>
        <v>FES1162769980</v>
      </c>
      <c r="C1770" s="2" t="s">
        <v>1190</v>
      </c>
      <c r="D1770" s="2">
        <v>1</v>
      </c>
      <c r="E1770" s="2" t="str">
        <f>"2170755869"</f>
        <v>2170755869</v>
      </c>
      <c r="F1770" s="2" t="s">
        <v>17</v>
      </c>
      <c r="G1770" s="2" t="s">
        <v>18</v>
      </c>
      <c r="H1770" s="2" t="s">
        <v>19</v>
      </c>
      <c r="I1770" s="2" t="s">
        <v>111</v>
      </c>
      <c r="J1770" s="2" t="s">
        <v>385</v>
      </c>
      <c r="K1770" s="2" t="s">
        <v>1266</v>
      </c>
      <c r="L1770" s="3">
        <v>0.3743055555555555</v>
      </c>
      <c r="M1770" s="2" t="s">
        <v>1396</v>
      </c>
      <c r="N1770" s="2" t="s">
        <v>500</v>
      </c>
      <c r="O1770" s="2"/>
      <c r="P1770" s="4"/>
      <c r="Q1770" s="4"/>
      <c r="R1770" s="4"/>
      <c r="S1770" s="4"/>
      <c r="T1770" s="4"/>
      <c r="U1770" s="4"/>
      <c r="V1770" s="4"/>
      <c r="W1770" s="4"/>
      <c r="X1770" s="4"/>
      <c r="Y1770" s="4"/>
      <c r="Z1770" s="4"/>
      <c r="AA1770" s="4"/>
      <c r="AB1770" s="4"/>
      <c r="AC1770" s="4"/>
      <c r="AD1770" s="4"/>
      <c r="AE1770" s="4"/>
      <c r="AF1770" s="4"/>
      <c r="AG1770" s="4"/>
      <c r="AH1770" s="4"/>
      <c r="AI1770" s="4"/>
      <c r="AJ1770" s="4"/>
      <c r="AK1770" s="4"/>
      <c r="AL1770" s="4"/>
      <c r="AM1770" s="4"/>
      <c r="AN1770" s="4"/>
      <c r="AO1770" s="4"/>
      <c r="AP1770" s="4"/>
      <c r="AQ1770" s="4"/>
      <c r="AR1770" s="4"/>
      <c r="AS1770" s="4"/>
      <c r="AT1770" s="4"/>
      <c r="AU1770" s="4"/>
      <c r="AV1770" s="4"/>
      <c r="AW1770" s="4"/>
      <c r="AX1770" s="4"/>
      <c r="AY1770" s="4"/>
      <c r="AZ1770" s="4"/>
      <c r="BA1770" s="4"/>
      <c r="BB1770" s="4"/>
      <c r="BC1770" s="4"/>
      <c r="BD1770" s="4"/>
      <c r="BE1770" s="4"/>
      <c r="BF1770" s="4"/>
      <c r="BG1770" s="4"/>
      <c r="BH1770" s="4"/>
      <c r="BI1770" s="4"/>
      <c r="BJ1770" s="4"/>
      <c r="BK1770" s="4"/>
      <c r="BL1770" s="4"/>
      <c r="BM1770" s="4"/>
      <c r="BN1770" s="4"/>
      <c r="BO1770" s="4"/>
      <c r="BP1770" s="4"/>
      <c r="BQ1770" s="4"/>
      <c r="BR1770" s="4"/>
      <c r="BS1770" s="4"/>
      <c r="BT1770" s="4"/>
      <c r="BU1770" s="4"/>
      <c r="BV1770" s="4"/>
      <c r="BW1770" s="4"/>
      <c r="BX1770" s="4"/>
      <c r="BY1770" s="4"/>
      <c r="BZ1770" s="4"/>
      <c r="CA1770" s="4"/>
      <c r="CB1770" s="4"/>
      <c r="CC1770" s="4"/>
      <c r="CD1770" s="4"/>
      <c r="CE1770" s="4"/>
      <c r="CF1770" s="4"/>
      <c r="CG1770" s="4"/>
      <c r="CH1770" s="4"/>
      <c r="CI1770" s="4"/>
      <c r="CJ1770" s="4"/>
      <c r="CK1770" s="4"/>
      <c r="CL1770" s="4"/>
      <c r="CM1770" s="4"/>
      <c r="CN1770" s="4"/>
      <c r="CO1770" s="4"/>
      <c r="CP1770" s="4"/>
      <c r="CQ1770" s="4"/>
      <c r="CR1770" s="4"/>
      <c r="CS1770" s="4"/>
      <c r="CT1770" s="4"/>
      <c r="CU1770" s="4"/>
      <c r="CV1770" s="4"/>
      <c r="CW1770" s="4"/>
      <c r="CX1770" s="4"/>
      <c r="CY1770" s="4"/>
      <c r="CZ1770" s="4"/>
      <c r="DA1770" s="4"/>
      <c r="DB1770" s="4"/>
      <c r="DC1770" s="4"/>
      <c r="DD1770" s="4"/>
      <c r="DE1770" s="4"/>
      <c r="DF1770" s="4"/>
      <c r="DG1770" s="4"/>
      <c r="DH1770" s="4"/>
      <c r="DI1770" s="4"/>
      <c r="DJ1770" s="4"/>
      <c r="DK1770" s="4"/>
      <c r="DL1770" s="4"/>
      <c r="DM1770" s="4"/>
      <c r="DN1770" s="4"/>
      <c r="DO1770" s="4"/>
      <c r="DP1770" s="4"/>
      <c r="DQ1770" s="4"/>
      <c r="DR1770" s="4"/>
    </row>
    <row r="1771" spans="1:122" s="4" customFormat="1" x14ac:dyDescent="0.25">
      <c r="A1771" s="5" t="s">
        <v>15</v>
      </c>
      <c r="B1771" s="5" t="str">
        <f>"FES1162769645"</f>
        <v>FES1162769645</v>
      </c>
      <c r="C1771" s="5" t="s">
        <v>1190</v>
      </c>
      <c r="D1771" s="5">
        <v>1</v>
      </c>
      <c r="E1771" s="5" t="str">
        <f>"2170756731"</f>
        <v>2170756731</v>
      </c>
      <c r="F1771" s="5" t="s">
        <v>17</v>
      </c>
      <c r="G1771" s="5" t="s">
        <v>18</v>
      </c>
      <c r="H1771" s="5" t="s">
        <v>25</v>
      </c>
      <c r="I1771" s="5" t="s">
        <v>345</v>
      </c>
      <c r="J1771" s="5" t="s">
        <v>412</v>
      </c>
      <c r="K1771" s="5" t="s">
        <v>1353</v>
      </c>
      <c r="L1771" s="9">
        <v>0.66736111111111107</v>
      </c>
      <c r="M1771" s="5" t="s">
        <v>1811</v>
      </c>
      <c r="N1771" s="5" t="s">
        <v>500</v>
      </c>
      <c r="O1771" s="5"/>
    </row>
    <row r="1772" spans="1:122" x14ac:dyDescent="0.25">
      <c r="A1772" s="2" t="s">
        <v>15</v>
      </c>
      <c r="B1772" s="2" t="str">
        <f>"FES1162769728"</f>
        <v>FES1162769728</v>
      </c>
      <c r="C1772" s="2" t="s">
        <v>1190</v>
      </c>
      <c r="D1772" s="2">
        <v>1</v>
      </c>
      <c r="E1772" s="2" t="str">
        <f>"2170756897"</f>
        <v>2170756897</v>
      </c>
      <c r="F1772" s="2" t="s">
        <v>17</v>
      </c>
      <c r="G1772" s="2" t="s">
        <v>18</v>
      </c>
      <c r="H1772" s="2" t="s">
        <v>25</v>
      </c>
      <c r="I1772" s="2" t="s">
        <v>39</v>
      </c>
      <c r="J1772" s="2" t="s">
        <v>40</v>
      </c>
      <c r="K1772" s="2" t="s">
        <v>1266</v>
      </c>
      <c r="L1772" s="3">
        <v>0.43263888888888885</v>
      </c>
      <c r="M1772" s="2" t="s">
        <v>991</v>
      </c>
      <c r="N1772" s="2" t="s">
        <v>500</v>
      </c>
      <c r="O1772" s="2"/>
      <c r="P1772" s="4"/>
      <c r="Q1772" s="4"/>
      <c r="R1772" s="4"/>
      <c r="S1772" s="4"/>
      <c r="T1772" s="4"/>
      <c r="U1772" s="4"/>
      <c r="V1772" s="4"/>
      <c r="W1772" s="4"/>
      <c r="X1772" s="4"/>
      <c r="Y1772" s="4"/>
      <c r="Z1772" s="4"/>
      <c r="AA1772" s="4"/>
      <c r="AB1772" s="4"/>
      <c r="AC1772" s="4"/>
      <c r="AD1772" s="4"/>
      <c r="AE1772" s="4"/>
      <c r="AF1772" s="4"/>
      <c r="AG1772" s="4"/>
      <c r="AH1772" s="4"/>
      <c r="AI1772" s="4"/>
      <c r="AJ1772" s="4"/>
      <c r="AK1772" s="4"/>
      <c r="AL1772" s="4"/>
      <c r="AM1772" s="4"/>
      <c r="AN1772" s="4"/>
      <c r="AO1772" s="4"/>
      <c r="AP1772" s="4"/>
      <c r="AQ1772" s="4"/>
      <c r="AR1772" s="4"/>
      <c r="AS1772" s="4"/>
      <c r="AT1772" s="4"/>
      <c r="AU1772" s="4"/>
      <c r="AV1772" s="4"/>
      <c r="AW1772" s="4"/>
      <c r="AX1772" s="4"/>
      <c r="AY1772" s="4"/>
      <c r="AZ1772" s="4"/>
      <c r="BA1772" s="4"/>
      <c r="BB1772" s="4"/>
      <c r="BC1772" s="4"/>
      <c r="BD1772" s="4"/>
      <c r="BE1772" s="4"/>
      <c r="BF1772" s="4"/>
      <c r="BG1772" s="4"/>
      <c r="BH1772" s="4"/>
      <c r="BI1772" s="4"/>
      <c r="BJ1772" s="4"/>
      <c r="BK1772" s="4"/>
      <c r="BL1772" s="4"/>
      <c r="BM1772" s="4"/>
      <c r="BN1772" s="4"/>
      <c r="BO1772" s="4"/>
      <c r="BP1772" s="4"/>
      <c r="BQ1772" s="4"/>
      <c r="BR1772" s="4"/>
      <c r="BS1772" s="4"/>
      <c r="BT1772" s="4"/>
      <c r="BU1772" s="4"/>
      <c r="BV1772" s="4"/>
      <c r="BW1772" s="4"/>
      <c r="BX1772" s="4"/>
      <c r="BY1772" s="4"/>
      <c r="BZ1772" s="4"/>
      <c r="CA1772" s="4"/>
      <c r="CB1772" s="4"/>
      <c r="CC1772" s="4"/>
      <c r="CD1772" s="4"/>
      <c r="CE1772" s="4"/>
      <c r="CF1772" s="4"/>
      <c r="CG1772" s="4"/>
      <c r="CH1772" s="4"/>
      <c r="CI1772" s="4"/>
      <c r="CJ1772" s="4"/>
      <c r="CK1772" s="4"/>
      <c r="CL1772" s="4"/>
      <c r="CM1772" s="4"/>
      <c r="CN1772" s="4"/>
      <c r="CO1772" s="4"/>
      <c r="CP1772" s="4"/>
      <c r="CQ1772" s="4"/>
      <c r="CR1772" s="4"/>
      <c r="CS1772" s="4"/>
      <c r="CT1772" s="4"/>
      <c r="CU1772" s="4"/>
      <c r="CV1772" s="4"/>
      <c r="CW1772" s="4"/>
      <c r="CX1772" s="4"/>
      <c r="CY1772" s="4"/>
      <c r="CZ1772" s="4"/>
      <c r="DA1772" s="4"/>
      <c r="DB1772" s="4"/>
      <c r="DC1772" s="4"/>
      <c r="DD1772" s="4"/>
      <c r="DE1772" s="4"/>
      <c r="DF1772" s="4"/>
      <c r="DG1772" s="4"/>
      <c r="DH1772" s="4"/>
      <c r="DI1772" s="4"/>
      <c r="DJ1772" s="4"/>
      <c r="DK1772" s="4"/>
      <c r="DL1772" s="4"/>
      <c r="DM1772" s="4"/>
      <c r="DN1772" s="4"/>
      <c r="DO1772" s="4"/>
      <c r="DP1772" s="4"/>
      <c r="DQ1772" s="4"/>
      <c r="DR1772" s="4"/>
    </row>
    <row r="1773" spans="1:122" x14ac:dyDescent="0.25">
      <c r="A1773" s="2" t="s">
        <v>15</v>
      </c>
      <c r="B1773" s="2" t="str">
        <f>"FES1162769720"</f>
        <v>FES1162769720</v>
      </c>
      <c r="C1773" s="2" t="s">
        <v>1190</v>
      </c>
      <c r="D1773" s="2">
        <v>1</v>
      </c>
      <c r="E1773" s="2" t="str">
        <f>"2170756875"</f>
        <v>2170756875</v>
      </c>
      <c r="F1773" s="2" t="s">
        <v>17</v>
      </c>
      <c r="G1773" s="2" t="s">
        <v>18</v>
      </c>
      <c r="H1773" s="2" t="s">
        <v>25</v>
      </c>
      <c r="I1773" s="2" t="s">
        <v>26</v>
      </c>
      <c r="J1773" s="2" t="s">
        <v>75</v>
      </c>
      <c r="K1773" s="2" t="s">
        <v>1266</v>
      </c>
      <c r="L1773" s="3">
        <v>0.33402777777777781</v>
      </c>
      <c r="M1773" s="2" t="s">
        <v>1329</v>
      </c>
      <c r="N1773" s="2" t="s">
        <v>500</v>
      </c>
      <c r="O1773" s="2"/>
      <c r="P1773" s="4"/>
      <c r="Q1773" s="4"/>
      <c r="R1773" s="4"/>
      <c r="S1773" s="4"/>
      <c r="T1773" s="4"/>
      <c r="U1773" s="4"/>
      <c r="V1773" s="4"/>
      <c r="W1773" s="4"/>
      <c r="X1773" s="4"/>
      <c r="Y1773" s="4"/>
      <c r="Z1773" s="4"/>
      <c r="AA1773" s="4"/>
      <c r="AB1773" s="4"/>
      <c r="AC1773" s="4"/>
      <c r="AD1773" s="4"/>
      <c r="AE1773" s="4"/>
      <c r="AF1773" s="4"/>
      <c r="AG1773" s="4"/>
      <c r="AH1773" s="4"/>
      <c r="AI1773" s="4"/>
      <c r="AJ1773" s="4"/>
      <c r="AK1773" s="4"/>
      <c r="AL1773" s="4"/>
      <c r="AM1773" s="4"/>
      <c r="AN1773" s="4"/>
      <c r="AO1773" s="4"/>
      <c r="AP1773" s="4"/>
      <c r="AQ1773" s="4"/>
      <c r="AR1773" s="4"/>
      <c r="AS1773" s="4"/>
      <c r="AT1773" s="4"/>
      <c r="AU1773" s="4"/>
      <c r="AV1773" s="4"/>
      <c r="AW1773" s="4"/>
      <c r="AX1773" s="4"/>
      <c r="AY1773" s="4"/>
      <c r="AZ1773" s="4"/>
      <c r="BA1773" s="4"/>
      <c r="BB1773" s="4"/>
      <c r="BC1773" s="4"/>
      <c r="BD1773" s="4"/>
      <c r="BE1773" s="4"/>
      <c r="BF1773" s="4"/>
      <c r="BG1773" s="4"/>
      <c r="BH1773" s="4"/>
      <c r="BI1773" s="4"/>
      <c r="BJ1773" s="4"/>
      <c r="BK1773" s="4"/>
      <c r="BL1773" s="4"/>
      <c r="BM1773" s="4"/>
      <c r="BN1773" s="4"/>
      <c r="BO1773" s="4"/>
      <c r="BP1773" s="4"/>
      <c r="BQ1773" s="4"/>
      <c r="BR1773" s="4"/>
      <c r="BS1773" s="4"/>
      <c r="BT1773" s="4"/>
      <c r="BU1773" s="4"/>
      <c r="BV1773" s="4"/>
      <c r="BW1773" s="4"/>
      <c r="BX1773" s="4"/>
      <c r="BY1773" s="4"/>
      <c r="BZ1773" s="4"/>
      <c r="CA1773" s="4"/>
      <c r="CB1773" s="4"/>
      <c r="CC1773" s="4"/>
      <c r="CD1773" s="4"/>
      <c r="CE1773" s="4"/>
      <c r="CF1773" s="4"/>
      <c r="CG1773" s="4"/>
      <c r="CH1773" s="4"/>
      <c r="CI1773" s="4"/>
      <c r="CJ1773" s="4"/>
      <c r="CK1773" s="4"/>
      <c r="CL1773" s="4"/>
      <c r="CM1773" s="4"/>
      <c r="CN1773" s="4"/>
      <c r="CO1773" s="4"/>
      <c r="CP1773" s="4"/>
      <c r="CQ1773" s="4"/>
      <c r="CR1773" s="4"/>
      <c r="CS1773" s="4"/>
      <c r="CT1773" s="4"/>
      <c r="CU1773" s="4"/>
      <c r="CV1773" s="4"/>
      <c r="CW1773" s="4"/>
      <c r="CX1773" s="4"/>
      <c r="CY1773" s="4"/>
      <c r="CZ1773" s="4"/>
      <c r="DA1773" s="4"/>
      <c r="DB1773" s="4"/>
      <c r="DC1773" s="4"/>
      <c r="DD1773" s="4"/>
      <c r="DE1773" s="4"/>
      <c r="DF1773" s="4"/>
      <c r="DG1773" s="4"/>
      <c r="DH1773" s="4"/>
      <c r="DI1773" s="4"/>
      <c r="DJ1773" s="4"/>
      <c r="DK1773" s="4"/>
      <c r="DL1773" s="4"/>
      <c r="DM1773" s="4"/>
      <c r="DN1773" s="4"/>
      <c r="DO1773" s="4"/>
      <c r="DP1773" s="4"/>
      <c r="DQ1773" s="4"/>
      <c r="DR1773" s="4"/>
    </row>
    <row r="1774" spans="1:122" x14ac:dyDescent="0.25">
      <c r="A1774" s="2" t="s">
        <v>15</v>
      </c>
      <c r="B1774" s="2" t="str">
        <f>"FES1162769651"</f>
        <v>FES1162769651</v>
      </c>
      <c r="C1774" s="2" t="s">
        <v>1190</v>
      </c>
      <c r="D1774" s="2">
        <v>1</v>
      </c>
      <c r="E1774" s="2" t="str">
        <f>"2170756743"</f>
        <v>2170756743</v>
      </c>
      <c r="F1774" s="2" t="s">
        <v>17</v>
      </c>
      <c r="G1774" s="2" t="s">
        <v>18</v>
      </c>
      <c r="H1774" s="2" t="s">
        <v>19</v>
      </c>
      <c r="I1774" s="2" t="s">
        <v>111</v>
      </c>
      <c r="J1774" s="2" t="s">
        <v>143</v>
      </c>
      <c r="K1774" s="2" t="s">
        <v>1266</v>
      </c>
      <c r="L1774" s="3">
        <v>0.31736111111111115</v>
      </c>
      <c r="M1774" s="2" t="s">
        <v>144</v>
      </c>
      <c r="N1774" s="2" t="s">
        <v>500</v>
      </c>
      <c r="O1774" s="2"/>
      <c r="P1774" s="4"/>
      <c r="Q1774" s="4"/>
      <c r="R1774" s="4"/>
      <c r="S1774" s="4"/>
      <c r="T1774" s="4"/>
      <c r="U1774" s="4"/>
      <c r="V1774" s="4"/>
      <c r="W1774" s="4"/>
      <c r="X1774" s="4"/>
      <c r="Y1774" s="4"/>
      <c r="Z1774" s="4"/>
      <c r="AA1774" s="4"/>
      <c r="AB1774" s="4"/>
      <c r="AC1774" s="4"/>
      <c r="AD1774" s="4"/>
      <c r="AE1774" s="4"/>
      <c r="AF1774" s="4"/>
      <c r="AG1774" s="4"/>
      <c r="AH1774" s="4"/>
      <c r="AI1774" s="4"/>
      <c r="AJ1774" s="4"/>
      <c r="AK1774" s="4"/>
      <c r="AL1774" s="4"/>
      <c r="AM1774" s="4"/>
      <c r="AN1774" s="4"/>
      <c r="AO1774" s="4"/>
      <c r="AP1774" s="4"/>
      <c r="AQ1774" s="4"/>
      <c r="AR1774" s="4"/>
      <c r="AS1774" s="4"/>
      <c r="AT1774" s="4"/>
      <c r="AU1774" s="4"/>
      <c r="AV1774" s="4"/>
      <c r="AW1774" s="4"/>
      <c r="AX1774" s="4"/>
      <c r="AY1774" s="4"/>
      <c r="AZ1774" s="4"/>
      <c r="BA1774" s="4"/>
      <c r="BB1774" s="4"/>
      <c r="BC1774" s="4"/>
      <c r="BD1774" s="4"/>
      <c r="BE1774" s="4"/>
      <c r="BF1774" s="4"/>
      <c r="BG1774" s="4"/>
      <c r="BH1774" s="4"/>
      <c r="BI1774" s="4"/>
      <c r="BJ1774" s="4"/>
      <c r="BK1774" s="4"/>
      <c r="BL1774" s="4"/>
      <c r="BM1774" s="4"/>
      <c r="BN1774" s="4"/>
      <c r="BO1774" s="4"/>
      <c r="BP1774" s="4"/>
      <c r="BQ1774" s="4"/>
      <c r="BR1774" s="4"/>
      <c r="BS1774" s="4"/>
      <c r="BT1774" s="4"/>
      <c r="BU1774" s="4"/>
      <c r="BV1774" s="4"/>
      <c r="BW1774" s="4"/>
      <c r="BX1774" s="4"/>
      <c r="BY1774" s="4"/>
      <c r="BZ1774" s="4"/>
      <c r="CA1774" s="4"/>
      <c r="CB1774" s="4"/>
      <c r="CC1774" s="4"/>
      <c r="CD1774" s="4"/>
      <c r="CE1774" s="4"/>
      <c r="CF1774" s="4"/>
      <c r="CG1774" s="4"/>
      <c r="CH1774" s="4"/>
      <c r="CI1774" s="4"/>
      <c r="CJ1774" s="4"/>
      <c r="CK1774" s="4"/>
      <c r="CL1774" s="4"/>
      <c r="CM1774" s="4"/>
      <c r="CN1774" s="4"/>
      <c r="CO1774" s="4"/>
      <c r="CP1774" s="4"/>
      <c r="CQ1774" s="4"/>
      <c r="CR1774" s="4"/>
      <c r="CS1774" s="4"/>
      <c r="CT1774" s="4"/>
      <c r="CU1774" s="4"/>
      <c r="CV1774" s="4"/>
      <c r="CW1774" s="4"/>
      <c r="CX1774" s="4"/>
      <c r="CY1774" s="4"/>
      <c r="CZ1774" s="4"/>
      <c r="DA1774" s="4"/>
      <c r="DB1774" s="4"/>
      <c r="DC1774" s="4"/>
      <c r="DD1774" s="4"/>
      <c r="DE1774" s="4"/>
      <c r="DF1774" s="4"/>
      <c r="DG1774" s="4"/>
      <c r="DH1774" s="4"/>
      <c r="DI1774" s="4"/>
      <c r="DJ1774" s="4"/>
      <c r="DK1774" s="4"/>
      <c r="DL1774" s="4"/>
      <c r="DM1774" s="4"/>
      <c r="DN1774" s="4"/>
      <c r="DO1774" s="4"/>
      <c r="DP1774" s="4"/>
      <c r="DQ1774" s="4"/>
      <c r="DR1774" s="4"/>
    </row>
    <row r="1775" spans="1:122" x14ac:dyDescent="0.25">
      <c r="A1775" s="2" t="s">
        <v>15</v>
      </c>
      <c r="B1775" s="2" t="str">
        <f>"FES1162769571"</f>
        <v>FES1162769571</v>
      </c>
      <c r="C1775" s="2" t="s">
        <v>1190</v>
      </c>
      <c r="D1775" s="2">
        <v>1</v>
      </c>
      <c r="E1775" s="2" t="str">
        <f>"2170756602"</f>
        <v>2170756602</v>
      </c>
      <c r="F1775" s="2" t="s">
        <v>17</v>
      </c>
      <c r="G1775" s="2" t="s">
        <v>18</v>
      </c>
      <c r="H1775" s="2" t="s">
        <v>19</v>
      </c>
      <c r="I1775" s="2" t="s">
        <v>111</v>
      </c>
      <c r="J1775" s="2" t="s">
        <v>112</v>
      </c>
      <c r="K1775" s="2" t="s">
        <v>1266</v>
      </c>
      <c r="L1775" s="3">
        <v>0.45555555555555555</v>
      </c>
      <c r="M1775" s="2" t="s">
        <v>1397</v>
      </c>
      <c r="N1775" s="2" t="s">
        <v>500</v>
      </c>
      <c r="O1775" s="2"/>
      <c r="P1775" s="4"/>
      <c r="Q1775" s="4"/>
      <c r="R1775" s="4"/>
      <c r="S1775" s="4"/>
      <c r="T1775" s="4"/>
      <c r="U1775" s="4"/>
      <c r="V1775" s="4"/>
      <c r="W1775" s="4"/>
      <c r="X1775" s="4"/>
      <c r="Y1775" s="4"/>
      <c r="Z1775" s="4"/>
      <c r="AA1775" s="4"/>
      <c r="AB1775" s="4"/>
      <c r="AC1775" s="4"/>
      <c r="AD1775" s="4"/>
      <c r="AE1775" s="4"/>
      <c r="AF1775" s="4"/>
      <c r="AG1775" s="4"/>
      <c r="AH1775" s="4"/>
      <c r="AI1775" s="4"/>
      <c r="AJ1775" s="4"/>
      <c r="AK1775" s="4"/>
      <c r="AL1775" s="4"/>
      <c r="AM1775" s="4"/>
      <c r="AN1775" s="4"/>
      <c r="AO1775" s="4"/>
      <c r="AP1775" s="4"/>
      <c r="AQ1775" s="4"/>
      <c r="AR1775" s="4"/>
      <c r="AS1775" s="4"/>
      <c r="AT1775" s="4"/>
      <c r="AU1775" s="4"/>
      <c r="AV1775" s="4"/>
      <c r="AW1775" s="4"/>
      <c r="AX1775" s="4"/>
      <c r="AY1775" s="4"/>
      <c r="AZ1775" s="4"/>
      <c r="BA1775" s="4"/>
      <c r="BB1775" s="4"/>
      <c r="BC1775" s="4"/>
      <c r="BD1775" s="4"/>
      <c r="BE1775" s="4"/>
      <c r="BF1775" s="4"/>
      <c r="BG1775" s="4"/>
      <c r="BH1775" s="4"/>
      <c r="BI1775" s="4"/>
      <c r="BJ1775" s="4"/>
      <c r="BK1775" s="4"/>
      <c r="BL1775" s="4"/>
      <c r="BM1775" s="4"/>
      <c r="BN1775" s="4"/>
      <c r="BO1775" s="4"/>
      <c r="BP1775" s="4"/>
      <c r="BQ1775" s="4"/>
      <c r="BR1775" s="4"/>
      <c r="BS1775" s="4"/>
      <c r="BT1775" s="4"/>
      <c r="BU1775" s="4"/>
      <c r="BV1775" s="4"/>
      <c r="BW1775" s="4"/>
      <c r="BX1775" s="4"/>
      <c r="BY1775" s="4"/>
      <c r="BZ1775" s="4"/>
      <c r="CA1775" s="4"/>
      <c r="CB1775" s="4"/>
      <c r="CC1775" s="4"/>
      <c r="CD1775" s="4"/>
      <c r="CE1775" s="4"/>
      <c r="CF1775" s="4"/>
      <c r="CG1775" s="4"/>
      <c r="CH1775" s="4"/>
      <c r="CI1775" s="4"/>
      <c r="CJ1775" s="4"/>
      <c r="CK1775" s="4"/>
      <c r="CL1775" s="4"/>
      <c r="CM1775" s="4"/>
      <c r="CN1775" s="4"/>
      <c r="CO1775" s="4"/>
      <c r="CP1775" s="4"/>
      <c r="CQ1775" s="4"/>
      <c r="CR1775" s="4"/>
      <c r="CS1775" s="4"/>
      <c r="CT1775" s="4"/>
      <c r="CU1775" s="4"/>
      <c r="CV1775" s="4"/>
      <c r="CW1775" s="4"/>
      <c r="CX1775" s="4"/>
      <c r="CY1775" s="4"/>
      <c r="CZ1775" s="4"/>
      <c r="DA1775" s="4"/>
      <c r="DB1775" s="4"/>
      <c r="DC1775" s="4"/>
      <c r="DD1775" s="4"/>
      <c r="DE1775" s="4"/>
      <c r="DF1775" s="4"/>
      <c r="DG1775" s="4"/>
      <c r="DH1775" s="4"/>
      <c r="DI1775" s="4"/>
      <c r="DJ1775" s="4"/>
      <c r="DK1775" s="4"/>
      <c r="DL1775" s="4"/>
      <c r="DM1775" s="4"/>
      <c r="DN1775" s="4"/>
      <c r="DO1775" s="4"/>
      <c r="DP1775" s="4"/>
      <c r="DQ1775" s="4"/>
      <c r="DR1775" s="4"/>
    </row>
    <row r="1776" spans="1:122" x14ac:dyDescent="0.25">
      <c r="A1776" s="2" t="s">
        <v>15</v>
      </c>
      <c r="B1776" s="2" t="str">
        <f>"FES1162769859"</f>
        <v>FES1162769859</v>
      </c>
      <c r="C1776" s="2" t="s">
        <v>1190</v>
      </c>
      <c r="D1776" s="2">
        <v>1</v>
      </c>
      <c r="E1776" s="2" t="str">
        <f>"2170757149"</f>
        <v>2170757149</v>
      </c>
      <c r="F1776" s="2" t="s">
        <v>17</v>
      </c>
      <c r="G1776" s="2" t="s">
        <v>18</v>
      </c>
      <c r="H1776" s="2" t="s">
        <v>18</v>
      </c>
      <c r="I1776" s="2" t="s">
        <v>46</v>
      </c>
      <c r="J1776" s="2" t="s">
        <v>915</v>
      </c>
      <c r="K1776" s="2" t="s">
        <v>1266</v>
      </c>
      <c r="L1776" s="3">
        <v>0.38472222222222219</v>
      </c>
      <c r="M1776" s="2" t="s">
        <v>1219</v>
      </c>
      <c r="N1776" s="2" t="s">
        <v>500</v>
      </c>
      <c r="O1776" s="2"/>
      <c r="P1776" s="4"/>
      <c r="Q1776" s="4"/>
      <c r="R1776" s="4"/>
      <c r="S1776" s="4"/>
      <c r="T1776" s="4"/>
      <c r="U1776" s="4"/>
      <c r="V1776" s="4"/>
      <c r="W1776" s="4"/>
      <c r="X1776" s="4"/>
      <c r="Y1776" s="4"/>
      <c r="Z1776" s="4"/>
      <c r="AA1776" s="4"/>
      <c r="AB1776" s="4"/>
      <c r="AC1776" s="4"/>
      <c r="AD1776" s="4"/>
      <c r="AE1776" s="4"/>
      <c r="AF1776" s="4"/>
      <c r="AG1776" s="4"/>
      <c r="AH1776" s="4"/>
      <c r="AI1776" s="4"/>
      <c r="AJ1776" s="4"/>
      <c r="AK1776" s="4"/>
      <c r="AL1776" s="4"/>
      <c r="AM1776" s="4"/>
      <c r="AN1776" s="4"/>
      <c r="AO1776" s="4"/>
      <c r="AP1776" s="4"/>
      <c r="AQ1776" s="4"/>
      <c r="AR1776" s="4"/>
      <c r="AS1776" s="4"/>
      <c r="AT1776" s="4"/>
      <c r="AU1776" s="4"/>
      <c r="AV1776" s="4"/>
      <c r="AW1776" s="4"/>
      <c r="AX1776" s="4"/>
      <c r="AY1776" s="4"/>
      <c r="AZ1776" s="4"/>
      <c r="BA1776" s="4"/>
      <c r="BB1776" s="4"/>
      <c r="BC1776" s="4"/>
      <c r="BD1776" s="4"/>
      <c r="BE1776" s="4"/>
      <c r="BF1776" s="4"/>
      <c r="BG1776" s="4"/>
      <c r="BH1776" s="4"/>
      <c r="BI1776" s="4"/>
      <c r="BJ1776" s="4"/>
      <c r="BK1776" s="4"/>
      <c r="BL1776" s="4"/>
      <c r="BM1776" s="4"/>
      <c r="BN1776" s="4"/>
      <c r="BO1776" s="4"/>
      <c r="BP1776" s="4"/>
      <c r="BQ1776" s="4"/>
      <c r="BR1776" s="4"/>
      <c r="BS1776" s="4"/>
      <c r="BT1776" s="4"/>
      <c r="BU1776" s="4"/>
      <c r="BV1776" s="4"/>
      <c r="BW1776" s="4"/>
      <c r="BX1776" s="4"/>
      <c r="BY1776" s="4"/>
      <c r="BZ1776" s="4"/>
      <c r="CA1776" s="4"/>
      <c r="CB1776" s="4"/>
      <c r="CC1776" s="4"/>
      <c r="CD1776" s="4"/>
      <c r="CE1776" s="4"/>
      <c r="CF1776" s="4"/>
      <c r="CG1776" s="4"/>
      <c r="CH1776" s="4"/>
      <c r="CI1776" s="4"/>
      <c r="CJ1776" s="4"/>
      <c r="CK1776" s="4"/>
      <c r="CL1776" s="4"/>
      <c r="CM1776" s="4"/>
      <c r="CN1776" s="4"/>
      <c r="CO1776" s="4"/>
      <c r="CP1776" s="4"/>
      <c r="CQ1776" s="4"/>
      <c r="CR1776" s="4"/>
      <c r="CS1776" s="4"/>
      <c r="CT1776" s="4"/>
      <c r="CU1776" s="4"/>
      <c r="CV1776" s="4"/>
      <c r="CW1776" s="4"/>
      <c r="CX1776" s="4"/>
      <c r="CY1776" s="4"/>
      <c r="CZ1776" s="4"/>
      <c r="DA1776" s="4"/>
      <c r="DB1776" s="4"/>
      <c r="DC1776" s="4"/>
      <c r="DD1776" s="4"/>
      <c r="DE1776" s="4"/>
      <c r="DF1776" s="4"/>
      <c r="DG1776" s="4"/>
      <c r="DH1776" s="4"/>
      <c r="DI1776" s="4"/>
      <c r="DJ1776" s="4"/>
      <c r="DK1776" s="4"/>
      <c r="DL1776" s="4"/>
      <c r="DM1776" s="4"/>
      <c r="DN1776" s="4"/>
      <c r="DO1776" s="4"/>
      <c r="DP1776" s="4"/>
      <c r="DQ1776" s="4"/>
      <c r="DR1776" s="4"/>
    </row>
    <row r="1777" spans="1:122" x14ac:dyDescent="0.25">
      <c r="A1777" s="2" t="s">
        <v>15</v>
      </c>
      <c r="B1777" s="2" t="str">
        <f>"FES1162769849"</f>
        <v>FES1162769849</v>
      </c>
      <c r="C1777" s="2" t="s">
        <v>1190</v>
      </c>
      <c r="D1777" s="2">
        <v>1</v>
      </c>
      <c r="E1777" s="2" t="str">
        <f>"2170757128"</f>
        <v>2170757128</v>
      </c>
      <c r="F1777" s="2" t="s">
        <v>17</v>
      </c>
      <c r="G1777" s="2" t="s">
        <v>18</v>
      </c>
      <c r="H1777" s="2" t="s">
        <v>484</v>
      </c>
      <c r="I1777" s="2" t="s">
        <v>675</v>
      </c>
      <c r="J1777" s="2" t="s">
        <v>1323</v>
      </c>
      <c r="K1777" s="2" t="s">
        <v>1266</v>
      </c>
      <c r="L1777" s="3">
        <v>0.43055555555555558</v>
      </c>
      <c r="M1777" s="2" t="s">
        <v>1398</v>
      </c>
      <c r="N1777" s="2" t="s">
        <v>500</v>
      </c>
      <c r="O1777" s="2"/>
      <c r="P1777" s="4"/>
      <c r="Q1777" s="4"/>
      <c r="R1777" s="4"/>
      <c r="S1777" s="4"/>
      <c r="T1777" s="4"/>
      <c r="U1777" s="4"/>
      <c r="V1777" s="4"/>
      <c r="W1777" s="4"/>
      <c r="X1777" s="4"/>
      <c r="Y1777" s="4"/>
      <c r="Z1777" s="4"/>
      <c r="AA1777" s="4"/>
      <c r="AB1777" s="4"/>
      <c r="AC1777" s="4"/>
      <c r="AD1777" s="4"/>
      <c r="AE1777" s="4"/>
      <c r="AF1777" s="4"/>
      <c r="AG1777" s="4"/>
      <c r="AH1777" s="4"/>
      <c r="AI1777" s="4"/>
      <c r="AJ1777" s="4"/>
      <c r="AK1777" s="4"/>
      <c r="AL1777" s="4"/>
      <c r="AM1777" s="4"/>
      <c r="AN1777" s="4"/>
      <c r="AO1777" s="4"/>
      <c r="AP1777" s="4"/>
      <c r="AQ1777" s="4"/>
      <c r="AR1777" s="4"/>
      <c r="AS1777" s="4"/>
      <c r="AT1777" s="4"/>
      <c r="AU1777" s="4"/>
      <c r="AV1777" s="4"/>
      <c r="AW1777" s="4"/>
      <c r="AX1777" s="4"/>
      <c r="AY1777" s="4"/>
      <c r="AZ1777" s="4"/>
      <c r="BA1777" s="4"/>
      <c r="BB1777" s="4"/>
      <c r="BC1777" s="4"/>
      <c r="BD1777" s="4"/>
      <c r="BE1777" s="4"/>
      <c r="BF1777" s="4"/>
      <c r="BG1777" s="4"/>
      <c r="BH1777" s="4"/>
      <c r="BI1777" s="4"/>
      <c r="BJ1777" s="4"/>
      <c r="BK1777" s="4"/>
      <c r="BL1777" s="4"/>
      <c r="BM1777" s="4"/>
      <c r="BN1777" s="4"/>
      <c r="BO1777" s="4"/>
      <c r="BP1777" s="4"/>
      <c r="BQ1777" s="4"/>
      <c r="BR1777" s="4"/>
      <c r="BS1777" s="4"/>
      <c r="BT1777" s="4"/>
      <c r="BU1777" s="4"/>
      <c r="BV1777" s="4"/>
      <c r="BW1777" s="4"/>
      <c r="BX1777" s="4"/>
      <c r="BY1777" s="4"/>
      <c r="BZ1777" s="4"/>
      <c r="CA1777" s="4"/>
      <c r="CB1777" s="4"/>
      <c r="CC1777" s="4"/>
      <c r="CD1777" s="4"/>
      <c r="CE1777" s="4"/>
      <c r="CF1777" s="4"/>
      <c r="CG1777" s="4"/>
      <c r="CH1777" s="4"/>
      <c r="CI1777" s="4"/>
      <c r="CJ1777" s="4"/>
      <c r="CK1777" s="4"/>
      <c r="CL1777" s="4"/>
      <c r="CM1777" s="4"/>
      <c r="CN1777" s="4"/>
      <c r="CO1777" s="4"/>
      <c r="CP1777" s="4"/>
      <c r="CQ1777" s="4"/>
      <c r="CR1777" s="4"/>
      <c r="CS1777" s="4"/>
      <c r="CT1777" s="4"/>
      <c r="CU1777" s="4"/>
      <c r="CV1777" s="4"/>
      <c r="CW1777" s="4"/>
      <c r="CX1777" s="4"/>
      <c r="CY1777" s="4"/>
      <c r="CZ1777" s="4"/>
      <c r="DA1777" s="4"/>
      <c r="DB1777" s="4"/>
      <c r="DC1777" s="4"/>
      <c r="DD1777" s="4"/>
      <c r="DE1777" s="4"/>
      <c r="DF1777" s="4"/>
      <c r="DG1777" s="4"/>
      <c r="DH1777" s="4"/>
      <c r="DI1777" s="4"/>
      <c r="DJ1777" s="4"/>
      <c r="DK1777" s="4"/>
      <c r="DL1777" s="4"/>
      <c r="DM1777" s="4"/>
      <c r="DN1777" s="4"/>
      <c r="DO1777" s="4"/>
      <c r="DP1777" s="4"/>
      <c r="DQ1777" s="4"/>
      <c r="DR1777" s="4"/>
    </row>
    <row r="1778" spans="1:122" x14ac:dyDescent="0.25">
      <c r="A1778" s="2" t="s">
        <v>15</v>
      </c>
      <c r="B1778" s="2" t="str">
        <f>"FES1162769714"</f>
        <v>FES1162769714</v>
      </c>
      <c r="C1778" s="2" t="s">
        <v>1190</v>
      </c>
      <c r="D1778" s="2">
        <v>1</v>
      </c>
      <c r="E1778" s="2" t="str">
        <f>"2170756866"</f>
        <v>2170756866</v>
      </c>
      <c r="F1778" s="2" t="s">
        <v>17</v>
      </c>
      <c r="G1778" s="2" t="s">
        <v>18</v>
      </c>
      <c r="H1778" s="2" t="s">
        <v>25</v>
      </c>
      <c r="I1778" s="2" t="s">
        <v>125</v>
      </c>
      <c r="J1778" s="2" t="s">
        <v>126</v>
      </c>
      <c r="K1778" s="2" t="s">
        <v>1266</v>
      </c>
      <c r="L1778" s="3">
        <v>0.43194444444444446</v>
      </c>
      <c r="M1778" s="2" t="s">
        <v>1189</v>
      </c>
      <c r="N1778" s="2" t="s">
        <v>500</v>
      </c>
      <c r="O1778" s="2"/>
      <c r="P1778" s="4"/>
      <c r="Q1778" s="4"/>
      <c r="R1778" s="4"/>
      <c r="S1778" s="4"/>
      <c r="T1778" s="4"/>
      <c r="U1778" s="4"/>
      <c r="V1778" s="4"/>
      <c r="W1778" s="4"/>
      <c r="X1778" s="4"/>
      <c r="Y1778" s="4"/>
      <c r="Z1778" s="4"/>
      <c r="AA1778" s="4"/>
      <c r="AB1778" s="4"/>
      <c r="AC1778" s="4"/>
      <c r="AD1778" s="4"/>
      <c r="AE1778" s="4"/>
      <c r="AF1778" s="4"/>
      <c r="AG1778" s="4"/>
      <c r="AH1778" s="4"/>
      <c r="AI1778" s="4"/>
      <c r="AJ1778" s="4"/>
      <c r="AK1778" s="4"/>
      <c r="AL1778" s="4"/>
      <c r="AM1778" s="4"/>
      <c r="AN1778" s="4"/>
      <c r="AO1778" s="4"/>
      <c r="AP1778" s="4"/>
      <c r="AQ1778" s="4"/>
      <c r="AR1778" s="4"/>
      <c r="AS1778" s="4"/>
      <c r="AT1778" s="4"/>
      <c r="AU1778" s="4"/>
      <c r="AV1778" s="4"/>
      <c r="AW1778" s="4"/>
      <c r="AX1778" s="4"/>
      <c r="AY1778" s="4"/>
      <c r="AZ1778" s="4"/>
      <c r="BA1778" s="4"/>
      <c r="BB1778" s="4"/>
      <c r="BC1778" s="4"/>
      <c r="BD1778" s="4"/>
      <c r="BE1778" s="4"/>
      <c r="BF1778" s="4"/>
      <c r="BG1778" s="4"/>
      <c r="BH1778" s="4"/>
      <c r="BI1778" s="4"/>
      <c r="BJ1778" s="4"/>
      <c r="BK1778" s="4"/>
      <c r="BL1778" s="4"/>
      <c r="BM1778" s="4"/>
      <c r="BN1778" s="4"/>
      <c r="BO1778" s="4"/>
      <c r="BP1778" s="4"/>
      <c r="BQ1778" s="4"/>
      <c r="BR1778" s="4"/>
      <c r="BS1778" s="4"/>
      <c r="BT1778" s="4"/>
      <c r="BU1778" s="4"/>
      <c r="BV1778" s="4"/>
      <c r="BW1778" s="4"/>
      <c r="BX1778" s="4"/>
      <c r="BY1778" s="4"/>
      <c r="BZ1778" s="4"/>
      <c r="CA1778" s="4"/>
      <c r="CB1778" s="4"/>
      <c r="CC1778" s="4"/>
      <c r="CD1778" s="4"/>
      <c r="CE1778" s="4"/>
      <c r="CF1778" s="4"/>
      <c r="CG1778" s="4"/>
      <c r="CH1778" s="4"/>
      <c r="CI1778" s="4"/>
      <c r="CJ1778" s="4"/>
      <c r="CK1778" s="4"/>
      <c r="CL1778" s="4"/>
      <c r="CM1778" s="4"/>
      <c r="CN1778" s="4"/>
      <c r="CO1778" s="4"/>
      <c r="CP1778" s="4"/>
      <c r="CQ1778" s="4"/>
      <c r="CR1778" s="4"/>
      <c r="CS1778" s="4"/>
      <c r="CT1778" s="4"/>
      <c r="CU1778" s="4"/>
      <c r="CV1778" s="4"/>
      <c r="CW1778" s="4"/>
      <c r="CX1778" s="4"/>
      <c r="CY1778" s="4"/>
      <c r="CZ1778" s="4"/>
      <c r="DA1778" s="4"/>
      <c r="DB1778" s="4"/>
      <c r="DC1778" s="4"/>
      <c r="DD1778" s="4"/>
      <c r="DE1778" s="4"/>
      <c r="DF1778" s="4"/>
      <c r="DG1778" s="4"/>
      <c r="DH1778" s="4"/>
      <c r="DI1778" s="4"/>
      <c r="DJ1778" s="4"/>
      <c r="DK1778" s="4"/>
      <c r="DL1778" s="4"/>
      <c r="DM1778" s="4"/>
      <c r="DN1778" s="4"/>
      <c r="DO1778" s="4"/>
      <c r="DP1778" s="4"/>
      <c r="DQ1778" s="4"/>
      <c r="DR1778" s="4"/>
    </row>
    <row r="1779" spans="1:122" x14ac:dyDescent="0.25">
      <c r="A1779" s="2" t="s">
        <v>15</v>
      </c>
      <c r="B1779" s="2" t="str">
        <f>"FES1162769791"</f>
        <v>FES1162769791</v>
      </c>
      <c r="C1779" s="2" t="s">
        <v>1190</v>
      </c>
      <c r="D1779" s="2">
        <v>1</v>
      </c>
      <c r="E1779" s="2" t="str">
        <f>"2170757030"</f>
        <v>2170757030</v>
      </c>
      <c r="F1779" s="2" t="s">
        <v>17</v>
      </c>
      <c r="G1779" s="2" t="s">
        <v>18</v>
      </c>
      <c r="H1779" s="2" t="s">
        <v>18</v>
      </c>
      <c r="I1779" s="2" t="s">
        <v>57</v>
      </c>
      <c r="J1779" s="2" t="s">
        <v>58</v>
      </c>
      <c r="K1779" s="2" t="s">
        <v>1266</v>
      </c>
      <c r="L1779" s="3">
        <v>0.40833333333333338</v>
      </c>
      <c r="M1779" s="2" t="s">
        <v>1385</v>
      </c>
      <c r="N1779" s="2" t="s">
        <v>500</v>
      </c>
      <c r="O1779" s="2"/>
      <c r="P1779" s="4"/>
      <c r="Q1779" s="4"/>
      <c r="R1779" s="4"/>
      <c r="S1779" s="4"/>
      <c r="T1779" s="4"/>
      <c r="U1779" s="4"/>
      <c r="V1779" s="4"/>
      <c r="W1779" s="4"/>
      <c r="X1779" s="4"/>
      <c r="Y1779" s="4"/>
      <c r="Z1779" s="4"/>
      <c r="AA1779" s="4"/>
      <c r="AB1779" s="4"/>
      <c r="AC1779" s="4"/>
      <c r="AD1779" s="4"/>
      <c r="AE1779" s="4"/>
      <c r="AF1779" s="4"/>
      <c r="AG1779" s="4"/>
      <c r="AH1779" s="4"/>
      <c r="AI1779" s="4"/>
      <c r="AJ1779" s="4"/>
      <c r="AK1779" s="4"/>
      <c r="AL1779" s="4"/>
      <c r="AM1779" s="4"/>
      <c r="AN1779" s="4"/>
      <c r="AO1779" s="4"/>
      <c r="AP1779" s="4"/>
      <c r="AQ1779" s="4"/>
      <c r="AR1779" s="4"/>
      <c r="AS1779" s="4"/>
      <c r="AT1779" s="4"/>
      <c r="AU1779" s="4"/>
      <c r="AV1779" s="4"/>
      <c r="AW1779" s="4"/>
      <c r="AX1779" s="4"/>
      <c r="AY1779" s="4"/>
      <c r="AZ1779" s="4"/>
      <c r="BA1779" s="4"/>
      <c r="BB1779" s="4"/>
      <c r="BC1779" s="4"/>
      <c r="BD1779" s="4"/>
      <c r="BE1779" s="4"/>
      <c r="BF1779" s="4"/>
      <c r="BG1779" s="4"/>
      <c r="BH1779" s="4"/>
      <c r="BI1779" s="4"/>
      <c r="BJ1779" s="4"/>
      <c r="BK1779" s="4"/>
      <c r="BL1779" s="4"/>
      <c r="BM1779" s="4"/>
      <c r="BN1779" s="4"/>
      <c r="BO1779" s="4"/>
      <c r="BP1779" s="4"/>
      <c r="BQ1779" s="4"/>
      <c r="BR1779" s="4"/>
      <c r="BS1779" s="4"/>
      <c r="BT1779" s="4"/>
      <c r="BU1779" s="4"/>
      <c r="BV1779" s="4"/>
      <c r="BW1779" s="4"/>
      <c r="BX1779" s="4"/>
      <c r="BY1779" s="4"/>
      <c r="BZ1779" s="4"/>
      <c r="CA1779" s="4"/>
      <c r="CB1779" s="4"/>
      <c r="CC1779" s="4"/>
      <c r="CD1779" s="4"/>
      <c r="CE1779" s="4"/>
      <c r="CF1779" s="4"/>
      <c r="CG1779" s="4"/>
      <c r="CH1779" s="4"/>
      <c r="CI1779" s="4"/>
      <c r="CJ1779" s="4"/>
      <c r="CK1779" s="4"/>
      <c r="CL1779" s="4"/>
      <c r="CM1779" s="4"/>
      <c r="CN1779" s="4"/>
      <c r="CO1779" s="4"/>
      <c r="CP1779" s="4"/>
      <c r="CQ1779" s="4"/>
      <c r="CR1779" s="4"/>
      <c r="CS1779" s="4"/>
      <c r="CT1779" s="4"/>
      <c r="CU1779" s="4"/>
      <c r="CV1779" s="4"/>
      <c r="CW1779" s="4"/>
      <c r="CX1779" s="4"/>
      <c r="CY1779" s="4"/>
      <c r="CZ1779" s="4"/>
      <c r="DA1779" s="4"/>
      <c r="DB1779" s="4"/>
      <c r="DC1779" s="4"/>
      <c r="DD1779" s="4"/>
      <c r="DE1779" s="4"/>
      <c r="DF1779" s="4"/>
      <c r="DG1779" s="4"/>
      <c r="DH1779" s="4"/>
      <c r="DI1779" s="4"/>
      <c r="DJ1779" s="4"/>
      <c r="DK1779" s="4"/>
      <c r="DL1779" s="4"/>
      <c r="DM1779" s="4"/>
      <c r="DN1779" s="4"/>
      <c r="DO1779" s="4"/>
      <c r="DP1779" s="4"/>
      <c r="DQ1779" s="4"/>
      <c r="DR1779" s="4"/>
    </row>
    <row r="1780" spans="1:122" x14ac:dyDescent="0.25">
      <c r="A1780" s="2" t="s">
        <v>15</v>
      </c>
      <c r="B1780" s="2" t="str">
        <f>"FES1162769562"</f>
        <v>FES1162769562</v>
      </c>
      <c r="C1780" s="2" t="s">
        <v>1190</v>
      </c>
      <c r="D1780" s="2">
        <v>1</v>
      </c>
      <c r="E1780" s="2" t="str">
        <f>"2170756588"</f>
        <v>2170756588</v>
      </c>
      <c r="F1780" s="2" t="s">
        <v>17</v>
      </c>
      <c r="G1780" s="2" t="s">
        <v>18</v>
      </c>
      <c r="H1780" s="2" t="s">
        <v>18</v>
      </c>
      <c r="I1780" s="2" t="s">
        <v>157</v>
      </c>
      <c r="J1780" s="2" t="s">
        <v>1324</v>
      </c>
      <c r="K1780" s="2" t="s">
        <v>1266</v>
      </c>
      <c r="L1780" s="3">
        <v>0.4284722222222222</v>
      </c>
      <c r="M1780" s="2" t="s">
        <v>1191</v>
      </c>
      <c r="N1780" s="2" t="s">
        <v>500</v>
      </c>
      <c r="O1780" s="2"/>
      <c r="P1780" s="4"/>
      <c r="Q1780" s="4"/>
      <c r="R1780" s="4"/>
      <c r="S1780" s="4"/>
      <c r="T1780" s="4"/>
      <c r="U1780" s="4"/>
      <c r="V1780" s="4"/>
      <c r="W1780" s="4"/>
      <c r="X1780" s="4"/>
      <c r="Y1780" s="4"/>
      <c r="Z1780" s="4"/>
      <c r="AA1780" s="4"/>
      <c r="AB1780" s="4"/>
      <c r="AC1780" s="4"/>
      <c r="AD1780" s="4"/>
      <c r="AE1780" s="4"/>
      <c r="AF1780" s="4"/>
      <c r="AG1780" s="4"/>
      <c r="AH1780" s="4"/>
      <c r="AI1780" s="4"/>
      <c r="AJ1780" s="4"/>
      <c r="AK1780" s="4"/>
      <c r="AL1780" s="4"/>
      <c r="AM1780" s="4"/>
      <c r="AN1780" s="4"/>
      <c r="AO1780" s="4"/>
      <c r="AP1780" s="4"/>
      <c r="AQ1780" s="4"/>
      <c r="AR1780" s="4"/>
      <c r="AS1780" s="4"/>
      <c r="AT1780" s="4"/>
      <c r="AU1780" s="4"/>
      <c r="AV1780" s="4"/>
      <c r="AW1780" s="4"/>
      <c r="AX1780" s="4"/>
      <c r="AY1780" s="4"/>
      <c r="AZ1780" s="4"/>
      <c r="BA1780" s="4"/>
      <c r="BB1780" s="4"/>
      <c r="BC1780" s="4"/>
      <c r="BD1780" s="4"/>
      <c r="BE1780" s="4"/>
      <c r="BF1780" s="4"/>
      <c r="BG1780" s="4"/>
      <c r="BH1780" s="4"/>
      <c r="BI1780" s="4"/>
      <c r="BJ1780" s="4"/>
      <c r="BK1780" s="4"/>
      <c r="BL1780" s="4"/>
      <c r="BM1780" s="4"/>
      <c r="BN1780" s="4"/>
      <c r="BO1780" s="4"/>
      <c r="BP1780" s="4"/>
      <c r="BQ1780" s="4"/>
      <c r="BR1780" s="4"/>
      <c r="BS1780" s="4"/>
      <c r="BT1780" s="4"/>
      <c r="BU1780" s="4"/>
      <c r="BV1780" s="4"/>
      <c r="BW1780" s="4"/>
      <c r="BX1780" s="4"/>
      <c r="BY1780" s="4"/>
      <c r="BZ1780" s="4"/>
      <c r="CA1780" s="4"/>
      <c r="CB1780" s="4"/>
      <c r="CC1780" s="4"/>
      <c r="CD1780" s="4"/>
      <c r="CE1780" s="4"/>
      <c r="CF1780" s="4"/>
      <c r="CG1780" s="4"/>
      <c r="CH1780" s="4"/>
      <c r="CI1780" s="4"/>
      <c r="CJ1780" s="4"/>
      <c r="CK1780" s="4"/>
      <c r="CL1780" s="4"/>
      <c r="CM1780" s="4"/>
      <c r="CN1780" s="4"/>
      <c r="CO1780" s="4"/>
      <c r="CP1780" s="4"/>
      <c r="CQ1780" s="4"/>
      <c r="CR1780" s="4"/>
      <c r="CS1780" s="4"/>
      <c r="CT1780" s="4"/>
      <c r="CU1780" s="4"/>
      <c r="CV1780" s="4"/>
      <c r="CW1780" s="4"/>
      <c r="CX1780" s="4"/>
      <c r="CY1780" s="4"/>
      <c r="CZ1780" s="4"/>
      <c r="DA1780" s="4"/>
      <c r="DB1780" s="4"/>
      <c r="DC1780" s="4"/>
      <c r="DD1780" s="4"/>
      <c r="DE1780" s="4"/>
      <c r="DF1780" s="4"/>
      <c r="DG1780" s="4"/>
      <c r="DH1780" s="4"/>
      <c r="DI1780" s="4"/>
      <c r="DJ1780" s="4"/>
      <c r="DK1780" s="4"/>
      <c r="DL1780" s="4"/>
      <c r="DM1780" s="4"/>
      <c r="DN1780" s="4"/>
      <c r="DO1780" s="4"/>
      <c r="DP1780" s="4"/>
      <c r="DQ1780" s="4"/>
      <c r="DR1780" s="4"/>
    </row>
    <row r="1781" spans="1:122" x14ac:dyDescent="0.25">
      <c r="A1781" s="2" t="s">
        <v>15</v>
      </c>
      <c r="B1781" s="2" t="str">
        <f>"FES1162769622"</f>
        <v>FES1162769622</v>
      </c>
      <c r="C1781" s="2" t="s">
        <v>1190</v>
      </c>
      <c r="D1781" s="2">
        <v>1</v>
      </c>
      <c r="E1781" s="2" t="str">
        <f>"2170756698"</f>
        <v>2170756698</v>
      </c>
      <c r="F1781" s="2" t="s">
        <v>17</v>
      </c>
      <c r="G1781" s="2" t="s">
        <v>18</v>
      </c>
      <c r="H1781" s="2" t="s">
        <v>19</v>
      </c>
      <c r="I1781" s="2" t="s">
        <v>20</v>
      </c>
      <c r="J1781" s="2" t="s">
        <v>1325</v>
      </c>
      <c r="K1781" s="2" t="s">
        <v>1266</v>
      </c>
      <c r="L1781" s="3">
        <v>0.42152777777777778</v>
      </c>
      <c r="M1781" s="2" t="s">
        <v>1399</v>
      </c>
      <c r="N1781" s="2" t="s">
        <v>500</v>
      </c>
      <c r="O1781" s="2"/>
      <c r="P1781" s="4"/>
      <c r="Q1781" s="4"/>
      <c r="R1781" s="4"/>
      <c r="S1781" s="4"/>
      <c r="T1781" s="4"/>
      <c r="U1781" s="4"/>
      <c r="V1781" s="4"/>
      <c r="W1781" s="4"/>
      <c r="X1781" s="4"/>
      <c r="Y1781" s="4"/>
      <c r="Z1781" s="4"/>
      <c r="AA1781" s="4"/>
      <c r="AB1781" s="4"/>
      <c r="AC1781" s="4"/>
      <c r="AD1781" s="4"/>
      <c r="AE1781" s="4"/>
      <c r="AF1781" s="4"/>
      <c r="AG1781" s="4"/>
      <c r="AH1781" s="4"/>
      <c r="AI1781" s="4"/>
      <c r="AJ1781" s="4"/>
      <c r="AK1781" s="4"/>
      <c r="AL1781" s="4"/>
      <c r="AM1781" s="4"/>
      <c r="AN1781" s="4"/>
      <c r="AO1781" s="4"/>
      <c r="AP1781" s="4"/>
      <c r="AQ1781" s="4"/>
      <c r="AR1781" s="4"/>
      <c r="AS1781" s="4"/>
      <c r="AT1781" s="4"/>
      <c r="AU1781" s="4"/>
      <c r="AV1781" s="4"/>
      <c r="AW1781" s="4"/>
      <c r="AX1781" s="4"/>
      <c r="AY1781" s="4"/>
      <c r="AZ1781" s="4"/>
      <c r="BA1781" s="4"/>
      <c r="BB1781" s="4"/>
      <c r="BC1781" s="4"/>
      <c r="BD1781" s="4"/>
      <c r="BE1781" s="4"/>
      <c r="BF1781" s="4"/>
      <c r="BG1781" s="4"/>
      <c r="BH1781" s="4"/>
      <c r="BI1781" s="4"/>
      <c r="BJ1781" s="4"/>
      <c r="BK1781" s="4"/>
      <c r="BL1781" s="4"/>
      <c r="BM1781" s="4"/>
      <c r="BN1781" s="4"/>
      <c r="BO1781" s="4"/>
      <c r="BP1781" s="4"/>
      <c r="BQ1781" s="4"/>
      <c r="BR1781" s="4"/>
      <c r="BS1781" s="4"/>
      <c r="BT1781" s="4"/>
      <c r="BU1781" s="4"/>
      <c r="BV1781" s="4"/>
      <c r="BW1781" s="4"/>
      <c r="BX1781" s="4"/>
      <c r="BY1781" s="4"/>
      <c r="BZ1781" s="4"/>
      <c r="CA1781" s="4"/>
      <c r="CB1781" s="4"/>
      <c r="CC1781" s="4"/>
      <c r="CD1781" s="4"/>
      <c r="CE1781" s="4"/>
      <c r="CF1781" s="4"/>
      <c r="CG1781" s="4"/>
      <c r="CH1781" s="4"/>
      <c r="CI1781" s="4"/>
      <c r="CJ1781" s="4"/>
      <c r="CK1781" s="4"/>
      <c r="CL1781" s="4"/>
      <c r="CM1781" s="4"/>
      <c r="CN1781" s="4"/>
      <c r="CO1781" s="4"/>
      <c r="CP1781" s="4"/>
      <c r="CQ1781" s="4"/>
      <c r="CR1781" s="4"/>
      <c r="CS1781" s="4"/>
      <c r="CT1781" s="4"/>
      <c r="CU1781" s="4"/>
      <c r="CV1781" s="4"/>
      <c r="CW1781" s="4"/>
      <c r="CX1781" s="4"/>
      <c r="CY1781" s="4"/>
      <c r="CZ1781" s="4"/>
      <c r="DA1781" s="4"/>
      <c r="DB1781" s="4"/>
      <c r="DC1781" s="4"/>
      <c r="DD1781" s="4"/>
      <c r="DE1781" s="4"/>
      <c r="DF1781" s="4"/>
      <c r="DG1781" s="4"/>
      <c r="DH1781" s="4"/>
      <c r="DI1781" s="4"/>
      <c r="DJ1781" s="4"/>
      <c r="DK1781" s="4"/>
      <c r="DL1781" s="4"/>
      <c r="DM1781" s="4"/>
      <c r="DN1781" s="4"/>
      <c r="DO1781" s="4"/>
      <c r="DP1781" s="4"/>
      <c r="DQ1781" s="4"/>
      <c r="DR1781" s="4"/>
    </row>
    <row r="1782" spans="1:122" x14ac:dyDescent="0.25">
      <c r="A1782" s="2" t="s">
        <v>15</v>
      </c>
      <c r="B1782" s="2" t="str">
        <f>"009940457418"</f>
        <v>009940457418</v>
      </c>
      <c r="C1782" s="2" t="s">
        <v>1190</v>
      </c>
      <c r="D1782" s="2">
        <v>1</v>
      </c>
      <c r="E1782" s="2" t="str">
        <f>"NO REF."</f>
        <v>NO REF.</v>
      </c>
      <c r="F1782" s="2" t="s">
        <v>17</v>
      </c>
      <c r="G1782" s="2" t="s">
        <v>88</v>
      </c>
      <c r="H1782" s="2" t="s">
        <v>18</v>
      </c>
      <c r="I1782" s="2" t="s">
        <v>63</v>
      </c>
      <c r="J1782" s="2" t="s">
        <v>410</v>
      </c>
      <c r="K1782" s="2" t="s">
        <v>1266</v>
      </c>
      <c r="L1782" s="3">
        <v>0.37152777777777773</v>
      </c>
      <c r="M1782" s="2" t="s">
        <v>262</v>
      </c>
      <c r="N1782" s="2" t="s">
        <v>500</v>
      </c>
      <c r="O1782" s="2"/>
      <c r="P1782" s="4"/>
      <c r="Q1782" s="4"/>
      <c r="R1782" s="4"/>
      <c r="S1782" s="4"/>
      <c r="T1782" s="4"/>
      <c r="U1782" s="4"/>
      <c r="V1782" s="4"/>
      <c r="W1782" s="4"/>
      <c r="X1782" s="4"/>
      <c r="Y1782" s="4"/>
      <c r="Z1782" s="4"/>
      <c r="AA1782" s="4"/>
      <c r="AB1782" s="4"/>
      <c r="AC1782" s="4"/>
      <c r="AD1782" s="4"/>
      <c r="AE1782" s="4"/>
      <c r="AF1782" s="4"/>
      <c r="AG1782" s="4"/>
      <c r="AH1782" s="4"/>
      <c r="AI1782" s="4"/>
      <c r="AJ1782" s="4"/>
      <c r="AK1782" s="4"/>
      <c r="AL1782" s="4"/>
      <c r="AM1782" s="4"/>
      <c r="AN1782" s="4"/>
      <c r="AO1782" s="4"/>
      <c r="AP1782" s="4"/>
      <c r="AQ1782" s="4"/>
      <c r="AR1782" s="4"/>
      <c r="AS1782" s="4"/>
      <c r="AT1782" s="4"/>
      <c r="AU1782" s="4"/>
      <c r="AV1782" s="4"/>
      <c r="AW1782" s="4"/>
      <c r="AX1782" s="4"/>
      <c r="AY1782" s="4"/>
      <c r="AZ1782" s="4"/>
      <c r="BA1782" s="4"/>
      <c r="BB1782" s="4"/>
      <c r="BC1782" s="4"/>
      <c r="BD1782" s="4"/>
      <c r="BE1782" s="4"/>
      <c r="BF1782" s="4"/>
      <c r="BG1782" s="4"/>
      <c r="BH1782" s="4"/>
      <c r="BI1782" s="4"/>
      <c r="BJ1782" s="4"/>
      <c r="BK1782" s="4"/>
      <c r="BL1782" s="4"/>
      <c r="BM1782" s="4"/>
      <c r="BN1782" s="4"/>
      <c r="BO1782" s="4"/>
      <c r="BP1782" s="4"/>
      <c r="BQ1782" s="4"/>
      <c r="BR1782" s="4"/>
      <c r="BS1782" s="4"/>
      <c r="BT1782" s="4"/>
      <c r="BU1782" s="4"/>
      <c r="BV1782" s="4"/>
      <c r="BW1782" s="4"/>
      <c r="BX1782" s="4"/>
      <c r="BY1782" s="4"/>
      <c r="BZ1782" s="4"/>
      <c r="CA1782" s="4"/>
      <c r="CB1782" s="4"/>
      <c r="CC1782" s="4"/>
      <c r="CD1782" s="4"/>
      <c r="CE1782" s="4"/>
      <c r="CF1782" s="4"/>
      <c r="CG1782" s="4"/>
      <c r="CH1782" s="4"/>
      <c r="CI1782" s="4"/>
      <c r="CJ1782" s="4"/>
      <c r="CK1782" s="4"/>
      <c r="CL1782" s="4"/>
      <c r="CM1782" s="4"/>
      <c r="CN1782" s="4"/>
      <c r="CO1782" s="4"/>
      <c r="CP1782" s="4"/>
      <c r="CQ1782" s="4"/>
      <c r="CR1782" s="4"/>
      <c r="CS1782" s="4"/>
      <c r="CT1782" s="4"/>
      <c r="CU1782" s="4"/>
      <c r="CV1782" s="4"/>
      <c r="CW1782" s="4"/>
      <c r="CX1782" s="4"/>
      <c r="CY1782" s="4"/>
      <c r="CZ1782" s="4"/>
      <c r="DA1782" s="4"/>
      <c r="DB1782" s="4"/>
      <c r="DC1782" s="4"/>
      <c r="DD1782" s="4"/>
      <c r="DE1782" s="4"/>
      <c r="DF1782" s="4"/>
      <c r="DG1782" s="4"/>
      <c r="DH1782" s="4"/>
      <c r="DI1782" s="4"/>
      <c r="DJ1782" s="4"/>
      <c r="DK1782" s="4"/>
      <c r="DL1782" s="4"/>
      <c r="DM1782" s="4"/>
      <c r="DN1782" s="4"/>
      <c r="DO1782" s="4"/>
      <c r="DP1782" s="4"/>
      <c r="DQ1782" s="4"/>
      <c r="DR1782" s="4"/>
    </row>
    <row r="1783" spans="1:122" x14ac:dyDescent="0.25">
      <c r="A1783" s="2" t="s">
        <v>15</v>
      </c>
      <c r="B1783" s="2" t="str">
        <f>"FES1162770190"</f>
        <v>FES1162770190</v>
      </c>
      <c r="C1783" s="2" t="s">
        <v>1266</v>
      </c>
      <c r="D1783" s="2">
        <v>1</v>
      </c>
      <c r="E1783" s="2" t="str">
        <f>"2170756344"</f>
        <v>2170756344</v>
      </c>
      <c r="F1783" s="2" t="s">
        <v>17</v>
      </c>
      <c r="G1783" s="2" t="s">
        <v>18</v>
      </c>
      <c r="H1783" s="2" t="s">
        <v>25</v>
      </c>
      <c r="I1783" s="2" t="s">
        <v>39</v>
      </c>
      <c r="J1783" s="2" t="s">
        <v>40</v>
      </c>
      <c r="K1783" s="2" t="s">
        <v>1353</v>
      </c>
      <c r="L1783" s="3">
        <v>0.43402777777777773</v>
      </c>
      <c r="M1783" s="2" t="s">
        <v>1464</v>
      </c>
      <c r="N1783" s="2" t="s">
        <v>500</v>
      </c>
      <c r="O1783" s="5"/>
      <c r="P1783" s="4"/>
      <c r="Q1783" s="4"/>
      <c r="R1783" s="4"/>
      <c r="S1783" s="4"/>
      <c r="T1783" s="4"/>
      <c r="U1783" s="4"/>
      <c r="V1783" s="4"/>
      <c r="W1783" s="4"/>
      <c r="X1783" s="4"/>
      <c r="Y1783" s="4"/>
      <c r="Z1783" s="4"/>
      <c r="AA1783" s="4"/>
      <c r="AB1783" s="4"/>
      <c r="AC1783" s="4"/>
      <c r="AD1783" s="4"/>
      <c r="AE1783" s="4"/>
      <c r="AF1783" s="4"/>
      <c r="AG1783" s="4"/>
      <c r="AH1783" s="4"/>
      <c r="AI1783" s="4"/>
      <c r="AJ1783" s="4"/>
      <c r="AK1783" s="4"/>
      <c r="AL1783" s="4"/>
      <c r="AM1783" s="4"/>
      <c r="AN1783" s="4"/>
      <c r="AO1783" s="4"/>
      <c r="AP1783" s="4"/>
      <c r="AQ1783" s="4"/>
      <c r="AR1783" s="4"/>
      <c r="AS1783" s="4"/>
      <c r="AT1783" s="4"/>
      <c r="AU1783" s="4"/>
      <c r="AV1783" s="4"/>
      <c r="AW1783" s="4"/>
      <c r="AX1783" s="4"/>
      <c r="AY1783" s="4"/>
      <c r="AZ1783" s="4"/>
      <c r="BA1783" s="4"/>
      <c r="BB1783" s="4"/>
      <c r="BC1783" s="4"/>
      <c r="BD1783" s="4"/>
      <c r="BE1783" s="4"/>
      <c r="BF1783" s="4"/>
      <c r="BG1783" s="4"/>
      <c r="BH1783" s="4"/>
      <c r="BI1783" s="4"/>
      <c r="BJ1783" s="4"/>
      <c r="BK1783" s="4"/>
      <c r="BL1783" s="4"/>
      <c r="BM1783" s="4"/>
      <c r="BN1783" s="4"/>
      <c r="BO1783" s="4"/>
      <c r="BP1783" s="4"/>
      <c r="BQ1783" s="4"/>
      <c r="BR1783" s="4"/>
      <c r="BS1783" s="4"/>
      <c r="BT1783" s="4"/>
      <c r="BU1783" s="4"/>
      <c r="BV1783" s="4"/>
      <c r="BW1783" s="4"/>
      <c r="BX1783" s="4"/>
      <c r="BY1783" s="4"/>
      <c r="BZ1783" s="4"/>
      <c r="CA1783" s="4"/>
      <c r="CB1783" s="4"/>
      <c r="CC1783" s="4"/>
      <c r="CD1783" s="4"/>
      <c r="CE1783" s="4"/>
      <c r="CF1783" s="4"/>
      <c r="CG1783" s="4"/>
      <c r="CH1783" s="4"/>
      <c r="CI1783" s="4"/>
      <c r="CJ1783" s="4"/>
      <c r="CK1783" s="4"/>
      <c r="CL1783" s="4"/>
      <c r="CM1783" s="4"/>
      <c r="CN1783" s="4"/>
      <c r="CO1783" s="4"/>
      <c r="CP1783" s="4"/>
      <c r="CQ1783" s="4"/>
      <c r="CR1783" s="4"/>
      <c r="CS1783" s="4"/>
      <c r="CT1783" s="4"/>
    </row>
    <row r="1784" spans="1:122" x14ac:dyDescent="0.25">
      <c r="A1784" s="2" t="s">
        <v>15</v>
      </c>
      <c r="B1784" s="2" t="str">
        <f>"FES1162770080"</f>
        <v>FES1162770080</v>
      </c>
      <c r="C1784" s="2" t="s">
        <v>1266</v>
      </c>
      <c r="D1784" s="2">
        <v>1</v>
      </c>
      <c r="E1784" s="2" t="str">
        <f>"2170756619"</f>
        <v>2170756619</v>
      </c>
      <c r="F1784" s="2" t="s">
        <v>17</v>
      </c>
      <c r="G1784" s="2" t="s">
        <v>18</v>
      </c>
      <c r="H1784" s="2" t="s">
        <v>19</v>
      </c>
      <c r="I1784" s="2" t="s">
        <v>111</v>
      </c>
      <c r="J1784" s="2" t="s">
        <v>915</v>
      </c>
      <c r="K1784" s="2" t="s">
        <v>1353</v>
      </c>
      <c r="L1784" s="3">
        <v>0.36527777777777781</v>
      </c>
      <c r="M1784" s="2" t="s">
        <v>1013</v>
      </c>
      <c r="N1784" s="2" t="s">
        <v>500</v>
      </c>
      <c r="O1784" s="5"/>
      <c r="P1784" s="4"/>
      <c r="Q1784" s="4"/>
      <c r="R1784" s="4"/>
      <c r="S1784" s="4"/>
      <c r="T1784" s="4"/>
      <c r="U1784" s="4"/>
      <c r="V1784" s="4"/>
      <c r="W1784" s="4"/>
      <c r="X1784" s="4"/>
      <c r="Y1784" s="4"/>
      <c r="Z1784" s="4"/>
      <c r="AA1784" s="4"/>
      <c r="AB1784" s="4"/>
      <c r="AC1784" s="4"/>
      <c r="AD1784" s="4"/>
      <c r="AE1784" s="4"/>
      <c r="AF1784" s="4"/>
      <c r="AG1784" s="4"/>
      <c r="AH1784" s="4"/>
      <c r="AI1784" s="4"/>
      <c r="AJ1784" s="4"/>
      <c r="AK1784" s="4"/>
      <c r="AL1784" s="4"/>
      <c r="AM1784" s="4"/>
      <c r="AN1784" s="4"/>
      <c r="AO1784" s="4"/>
      <c r="AP1784" s="4"/>
      <c r="AQ1784" s="4"/>
      <c r="AR1784" s="4"/>
      <c r="AS1784" s="4"/>
      <c r="AT1784" s="4"/>
      <c r="AU1784" s="4"/>
      <c r="AV1784" s="4"/>
      <c r="AW1784" s="4"/>
      <c r="AX1784" s="4"/>
      <c r="AY1784" s="4"/>
      <c r="AZ1784" s="4"/>
      <c r="BA1784" s="4"/>
      <c r="BB1784" s="4"/>
      <c r="BC1784" s="4"/>
      <c r="BD1784" s="4"/>
      <c r="BE1784" s="4"/>
      <c r="BF1784" s="4"/>
      <c r="BG1784" s="4"/>
      <c r="BH1784" s="4"/>
      <c r="BI1784" s="4"/>
      <c r="BJ1784" s="4"/>
      <c r="BK1784" s="4"/>
      <c r="BL1784" s="4"/>
      <c r="BM1784" s="4"/>
      <c r="BN1784" s="4"/>
      <c r="BO1784" s="4"/>
      <c r="BP1784" s="4"/>
      <c r="BQ1784" s="4"/>
      <c r="BR1784" s="4"/>
      <c r="BS1784" s="4"/>
      <c r="BT1784" s="4"/>
      <c r="BU1784" s="4"/>
      <c r="BV1784" s="4"/>
      <c r="BW1784" s="4"/>
      <c r="BX1784" s="4"/>
      <c r="BY1784" s="4"/>
      <c r="BZ1784" s="4"/>
      <c r="CA1784" s="4"/>
      <c r="CB1784" s="4"/>
      <c r="CC1784" s="4"/>
      <c r="CD1784" s="4"/>
      <c r="CE1784" s="4"/>
      <c r="CF1784" s="4"/>
      <c r="CG1784" s="4"/>
      <c r="CH1784" s="4"/>
      <c r="CI1784" s="4"/>
      <c r="CJ1784" s="4"/>
      <c r="CK1784" s="4"/>
      <c r="CL1784" s="4"/>
      <c r="CM1784" s="4"/>
      <c r="CN1784" s="4"/>
      <c r="CO1784" s="4"/>
      <c r="CP1784" s="4"/>
      <c r="CQ1784" s="4"/>
      <c r="CR1784" s="4"/>
      <c r="CS1784" s="4"/>
      <c r="CT1784" s="4"/>
    </row>
    <row r="1785" spans="1:122" x14ac:dyDescent="0.25">
      <c r="A1785" s="2" t="s">
        <v>15</v>
      </c>
      <c r="B1785" s="2" t="str">
        <f>"FES1162770193"</f>
        <v>FES1162770193</v>
      </c>
      <c r="C1785" s="2" t="s">
        <v>1266</v>
      </c>
      <c r="D1785" s="2">
        <v>1</v>
      </c>
      <c r="E1785" s="2" t="str">
        <f>"2170757406"</f>
        <v>2170757406</v>
      </c>
      <c r="F1785" s="2" t="s">
        <v>17</v>
      </c>
      <c r="G1785" s="2" t="s">
        <v>18</v>
      </c>
      <c r="H1785" s="2" t="s">
        <v>25</v>
      </c>
      <c r="I1785" s="2" t="s">
        <v>39</v>
      </c>
      <c r="J1785" s="2" t="s">
        <v>40</v>
      </c>
      <c r="K1785" s="2" t="s">
        <v>1353</v>
      </c>
      <c r="L1785" s="3">
        <v>0.43402777777777773</v>
      </c>
      <c r="M1785" s="2" t="s">
        <v>1464</v>
      </c>
      <c r="N1785" s="2" t="s">
        <v>500</v>
      </c>
      <c r="O1785" s="5"/>
      <c r="P1785" s="4"/>
      <c r="Q1785" s="4"/>
      <c r="R1785" s="4"/>
      <c r="S1785" s="4"/>
      <c r="T1785" s="4"/>
      <c r="U1785" s="4"/>
      <c r="V1785" s="4"/>
      <c r="W1785" s="4"/>
      <c r="X1785" s="4"/>
      <c r="Y1785" s="4"/>
      <c r="Z1785" s="4"/>
      <c r="AA1785" s="4"/>
      <c r="AB1785" s="4"/>
      <c r="AC1785" s="4"/>
      <c r="AD1785" s="4"/>
      <c r="AE1785" s="4"/>
      <c r="AF1785" s="4"/>
      <c r="AG1785" s="4"/>
      <c r="AH1785" s="4"/>
      <c r="AI1785" s="4"/>
      <c r="AJ1785" s="4"/>
      <c r="AK1785" s="4"/>
      <c r="AL1785" s="4"/>
      <c r="AM1785" s="4"/>
      <c r="AN1785" s="4"/>
      <c r="AO1785" s="4"/>
      <c r="AP1785" s="4"/>
      <c r="AQ1785" s="4"/>
      <c r="AR1785" s="4"/>
      <c r="AS1785" s="4"/>
      <c r="AT1785" s="4"/>
      <c r="AU1785" s="4"/>
      <c r="AV1785" s="4"/>
      <c r="AW1785" s="4"/>
      <c r="AX1785" s="4"/>
      <c r="AY1785" s="4"/>
      <c r="AZ1785" s="4"/>
      <c r="BA1785" s="4"/>
      <c r="BB1785" s="4"/>
      <c r="BC1785" s="4"/>
      <c r="BD1785" s="4"/>
      <c r="BE1785" s="4"/>
      <c r="BF1785" s="4"/>
      <c r="BG1785" s="4"/>
      <c r="BH1785" s="4"/>
      <c r="BI1785" s="4"/>
      <c r="BJ1785" s="4"/>
      <c r="BK1785" s="4"/>
      <c r="BL1785" s="4"/>
      <c r="BM1785" s="4"/>
      <c r="BN1785" s="4"/>
      <c r="BO1785" s="4"/>
      <c r="BP1785" s="4"/>
      <c r="BQ1785" s="4"/>
      <c r="BR1785" s="4"/>
      <c r="BS1785" s="4"/>
      <c r="BT1785" s="4"/>
      <c r="BU1785" s="4"/>
      <c r="BV1785" s="4"/>
      <c r="BW1785" s="4"/>
      <c r="BX1785" s="4"/>
      <c r="BY1785" s="4"/>
      <c r="BZ1785" s="4"/>
      <c r="CA1785" s="4"/>
      <c r="CB1785" s="4"/>
      <c r="CC1785" s="4"/>
      <c r="CD1785" s="4"/>
      <c r="CE1785" s="4"/>
      <c r="CF1785" s="4"/>
      <c r="CG1785" s="4"/>
      <c r="CH1785" s="4"/>
      <c r="CI1785" s="4"/>
      <c r="CJ1785" s="4"/>
      <c r="CK1785" s="4"/>
      <c r="CL1785" s="4"/>
      <c r="CM1785" s="4"/>
      <c r="CN1785" s="4"/>
      <c r="CO1785" s="4"/>
      <c r="CP1785" s="4"/>
      <c r="CQ1785" s="4"/>
      <c r="CR1785" s="4"/>
      <c r="CS1785" s="4"/>
      <c r="CT1785" s="4"/>
    </row>
    <row r="1786" spans="1:122" x14ac:dyDescent="0.25">
      <c r="A1786" s="2" t="s">
        <v>15</v>
      </c>
      <c r="B1786" s="2" t="str">
        <f>"FES1162770181"</f>
        <v>FES1162770181</v>
      </c>
      <c r="C1786" s="2" t="s">
        <v>1266</v>
      </c>
      <c r="D1786" s="2">
        <v>1</v>
      </c>
      <c r="E1786" s="2" t="str">
        <f>"2170757418"</f>
        <v>2170757418</v>
      </c>
      <c r="F1786" s="2" t="s">
        <v>17</v>
      </c>
      <c r="G1786" s="2" t="s">
        <v>18</v>
      </c>
      <c r="H1786" s="2" t="s">
        <v>19</v>
      </c>
      <c r="I1786" s="2" t="s">
        <v>73</v>
      </c>
      <c r="J1786" s="2" t="s">
        <v>74</v>
      </c>
      <c r="K1786" s="2" t="s">
        <v>1353</v>
      </c>
      <c r="L1786" s="3">
        <v>0.46527777777777773</v>
      </c>
      <c r="M1786" s="2" t="s">
        <v>1465</v>
      </c>
      <c r="N1786" s="2" t="s">
        <v>500</v>
      </c>
      <c r="O1786" s="5"/>
      <c r="P1786" s="4"/>
      <c r="Q1786" s="4"/>
      <c r="R1786" s="4"/>
      <c r="S1786" s="4"/>
      <c r="T1786" s="4"/>
      <c r="U1786" s="4"/>
      <c r="V1786" s="4"/>
      <c r="W1786" s="4"/>
      <c r="X1786" s="4"/>
      <c r="Y1786" s="4"/>
      <c r="Z1786" s="4"/>
      <c r="AA1786" s="4"/>
      <c r="AB1786" s="4"/>
      <c r="AC1786" s="4"/>
      <c r="AD1786" s="4"/>
      <c r="AE1786" s="4"/>
      <c r="AF1786" s="4"/>
      <c r="AG1786" s="4"/>
      <c r="AH1786" s="4"/>
      <c r="AI1786" s="4"/>
      <c r="AJ1786" s="4"/>
      <c r="AK1786" s="4"/>
      <c r="AL1786" s="4"/>
      <c r="AM1786" s="4"/>
      <c r="AN1786" s="4"/>
      <c r="AO1786" s="4"/>
      <c r="AP1786" s="4"/>
      <c r="AQ1786" s="4"/>
      <c r="AR1786" s="4"/>
      <c r="AS1786" s="4"/>
      <c r="AT1786" s="4"/>
      <c r="AU1786" s="4"/>
      <c r="AV1786" s="4"/>
      <c r="AW1786" s="4"/>
      <c r="AX1786" s="4"/>
      <c r="AY1786" s="4"/>
      <c r="AZ1786" s="4"/>
      <c r="BA1786" s="4"/>
      <c r="BB1786" s="4"/>
      <c r="BC1786" s="4"/>
      <c r="BD1786" s="4"/>
      <c r="BE1786" s="4"/>
      <c r="BF1786" s="4"/>
      <c r="BG1786" s="4"/>
      <c r="BH1786" s="4"/>
      <c r="BI1786" s="4"/>
      <c r="BJ1786" s="4"/>
      <c r="BK1786" s="4"/>
      <c r="BL1786" s="4"/>
      <c r="BM1786" s="4"/>
      <c r="BN1786" s="4"/>
      <c r="BO1786" s="4"/>
      <c r="BP1786" s="4"/>
      <c r="BQ1786" s="4"/>
      <c r="BR1786" s="4"/>
      <c r="BS1786" s="4"/>
      <c r="BT1786" s="4"/>
      <c r="BU1786" s="4"/>
      <c r="BV1786" s="4"/>
      <c r="BW1786" s="4"/>
      <c r="BX1786" s="4"/>
      <c r="BY1786" s="4"/>
      <c r="BZ1786" s="4"/>
      <c r="CA1786" s="4"/>
      <c r="CB1786" s="4"/>
      <c r="CC1786" s="4"/>
      <c r="CD1786" s="4"/>
      <c r="CE1786" s="4"/>
      <c r="CF1786" s="4"/>
      <c r="CG1786" s="4"/>
      <c r="CH1786" s="4"/>
      <c r="CI1786" s="4"/>
      <c r="CJ1786" s="4"/>
      <c r="CK1786" s="4"/>
      <c r="CL1786" s="4"/>
      <c r="CM1786" s="4"/>
      <c r="CN1786" s="4"/>
      <c r="CO1786" s="4"/>
      <c r="CP1786" s="4"/>
      <c r="CQ1786" s="4"/>
      <c r="CR1786" s="4"/>
      <c r="CS1786" s="4"/>
      <c r="CT1786" s="4"/>
    </row>
    <row r="1787" spans="1:122" x14ac:dyDescent="0.25">
      <c r="A1787" s="2" t="s">
        <v>15</v>
      </c>
      <c r="B1787" s="2" t="str">
        <f>"FES1162769673"</f>
        <v>FES1162769673</v>
      </c>
      <c r="C1787" s="2" t="s">
        <v>1266</v>
      </c>
      <c r="D1787" s="2">
        <v>1</v>
      </c>
      <c r="E1787" s="2" t="str">
        <f>"2170756781"</f>
        <v>2170756781</v>
      </c>
      <c r="F1787" s="2" t="s">
        <v>17</v>
      </c>
      <c r="G1787" s="2" t="s">
        <v>18</v>
      </c>
      <c r="H1787" s="2" t="s">
        <v>25</v>
      </c>
      <c r="I1787" s="2" t="s">
        <v>361</v>
      </c>
      <c r="J1787" s="2" t="s">
        <v>1400</v>
      </c>
      <c r="K1787" s="2" t="s">
        <v>1353</v>
      </c>
      <c r="L1787" s="3">
        <v>0.41666666666666669</v>
      </c>
      <c r="M1787" s="2" t="s">
        <v>1466</v>
      </c>
      <c r="N1787" s="2" t="s">
        <v>500</v>
      </c>
      <c r="O1787" s="5"/>
      <c r="P1787" s="4"/>
      <c r="Q1787" s="4"/>
      <c r="R1787" s="4"/>
      <c r="S1787" s="4"/>
      <c r="T1787" s="4"/>
      <c r="U1787" s="4"/>
      <c r="V1787" s="4"/>
      <c r="W1787" s="4"/>
      <c r="X1787" s="4"/>
      <c r="Y1787" s="4"/>
      <c r="Z1787" s="4"/>
      <c r="AA1787" s="4"/>
      <c r="AB1787" s="4"/>
      <c r="AC1787" s="4"/>
      <c r="AD1787" s="4"/>
      <c r="AE1787" s="4"/>
      <c r="AF1787" s="4"/>
      <c r="AG1787" s="4"/>
      <c r="AH1787" s="4"/>
      <c r="AI1787" s="4"/>
      <c r="AJ1787" s="4"/>
      <c r="AK1787" s="4"/>
      <c r="AL1787" s="4"/>
      <c r="AM1787" s="4"/>
      <c r="AN1787" s="4"/>
      <c r="AO1787" s="4"/>
      <c r="AP1787" s="4"/>
      <c r="AQ1787" s="4"/>
      <c r="AR1787" s="4"/>
      <c r="AS1787" s="4"/>
      <c r="AT1787" s="4"/>
      <c r="AU1787" s="4"/>
      <c r="AV1787" s="4"/>
      <c r="AW1787" s="4"/>
      <c r="AX1787" s="4"/>
      <c r="AY1787" s="4"/>
      <c r="AZ1787" s="4"/>
      <c r="BA1787" s="4"/>
      <c r="BB1787" s="4"/>
      <c r="BC1787" s="4"/>
      <c r="BD1787" s="4"/>
      <c r="BE1787" s="4"/>
      <c r="BF1787" s="4"/>
      <c r="BG1787" s="4"/>
      <c r="BH1787" s="4"/>
      <c r="BI1787" s="4"/>
      <c r="BJ1787" s="4"/>
      <c r="BK1787" s="4"/>
      <c r="BL1787" s="4"/>
      <c r="BM1787" s="4"/>
      <c r="BN1787" s="4"/>
      <c r="BO1787" s="4"/>
      <c r="BP1787" s="4"/>
      <c r="BQ1787" s="4"/>
      <c r="BR1787" s="4"/>
      <c r="BS1787" s="4"/>
      <c r="BT1787" s="4"/>
      <c r="BU1787" s="4"/>
      <c r="BV1787" s="4"/>
      <c r="BW1787" s="4"/>
      <c r="BX1787" s="4"/>
      <c r="BY1787" s="4"/>
      <c r="BZ1787" s="4"/>
      <c r="CA1787" s="4"/>
      <c r="CB1787" s="4"/>
      <c r="CC1787" s="4"/>
      <c r="CD1787" s="4"/>
      <c r="CE1787" s="4"/>
      <c r="CF1787" s="4"/>
      <c r="CG1787" s="4"/>
      <c r="CH1787" s="4"/>
      <c r="CI1787" s="4"/>
      <c r="CJ1787" s="4"/>
      <c r="CK1787" s="4"/>
      <c r="CL1787" s="4"/>
      <c r="CM1787" s="4"/>
      <c r="CN1787" s="4"/>
      <c r="CO1787" s="4"/>
      <c r="CP1787" s="4"/>
      <c r="CQ1787" s="4"/>
      <c r="CR1787" s="4"/>
      <c r="CS1787" s="4"/>
      <c r="CT1787" s="4"/>
    </row>
    <row r="1788" spans="1:122" x14ac:dyDescent="0.25">
      <c r="A1788" s="2" t="s">
        <v>15</v>
      </c>
      <c r="B1788" s="2" t="str">
        <f>"FES1162769690"</f>
        <v>FES1162769690</v>
      </c>
      <c r="C1788" s="2" t="s">
        <v>1266</v>
      </c>
      <c r="D1788" s="2">
        <v>1</v>
      </c>
      <c r="E1788" s="2" t="str">
        <f>"2170756810"</f>
        <v>2170756810</v>
      </c>
      <c r="F1788" s="2" t="s">
        <v>17</v>
      </c>
      <c r="G1788" s="2" t="s">
        <v>18</v>
      </c>
      <c r="H1788" s="2" t="s">
        <v>25</v>
      </c>
      <c r="I1788" s="2" t="s">
        <v>26</v>
      </c>
      <c r="J1788" s="2" t="s">
        <v>27</v>
      </c>
      <c r="K1788" s="2" t="s">
        <v>1353</v>
      </c>
      <c r="L1788" s="3">
        <v>0.40416666666666662</v>
      </c>
      <c r="M1788" s="2" t="s">
        <v>521</v>
      </c>
      <c r="N1788" s="2" t="s">
        <v>500</v>
      </c>
      <c r="O1788" s="5"/>
      <c r="P1788" s="4"/>
      <c r="Q1788" s="4"/>
      <c r="R1788" s="4"/>
      <c r="S1788" s="4"/>
      <c r="T1788" s="4"/>
      <c r="U1788" s="4"/>
      <c r="V1788" s="4"/>
      <c r="W1788" s="4"/>
      <c r="X1788" s="4"/>
      <c r="Y1788" s="4"/>
      <c r="Z1788" s="4"/>
      <c r="AA1788" s="4"/>
      <c r="AB1788" s="4"/>
      <c r="AC1788" s="4"/>
      <c r="AD1788" s="4"/>
      <c r="AE1788" s="4"/>
      <c r="AF1788" s="4"/>
      <c r="AG1788" s="4"/>
      <c r="AH1788" s="4"/>
      <c r="AI1788" s="4"/>
      <c r="AJ1788" s="4"/>
      <c r="AK1788" s="4"/>
      <c r="AL1788" s="4"/>
      <c r="AM1788" s="4"/>
      <c r="AN1788" s="4"/>
      <c r="AO1788" s="4"/>
      <c r="AP1788" s="4"/>
      <c r="AQ1788" s="4"/>
      <c r="AR1788" s="4"/>
      <c r="AS1788" s="4"/>
      <c r="AT1788" s="4"/>
      <c r="AU1788" s="4"/>
      <c r="AV1788" s="4"/>
      <c r="AW1788" s="4"/>
      <c r="AX1788" s="4"/>
      <c r="AY1788" s="4"/>
      <c r="AZ1788" s="4"/>
      <c r="BA1788" s="4"/>
      <c r="BB1788" s="4"/>
      <c r="BC1788" s="4"/>
      <c r="BD1788" s="4"/>
      <c r="BE1788" s="4"/>
      <c r="BF1788" s="4"/>
      <c r="BG1788" s="4"/>
      <c r="BH1788" s="4"/>
      <c r="BI1788" s="4"/>
      <c r="BJ1788" s="4"/>
      <c r="BK1788" s="4"/>
      <c r="BL1788" s="4"/>
      <c r="BM1788" s="4"/>
      <c r="BN1788" s="4"/>
      <c r="BO1788" s="4"/>
      <c r="BP1788" s="4"/>
      <c r="BQ1788" s="4"/>
      <c r="BR1788" s="4"/>
      <c r="BS1788" s="4"/>
      <c r="BT1788" s="4"/>
      <c r="BU1788" s="4"/>
      <c r="BV1788" s="4"/>
      <c r="BW1788" s="4"/>
      <c r="BX1788" s="4"/>
      <c r="BY1788" s="4"/>
      <c r="BZ1788" s="4"/>
      <c r="CA1788" s="4"/>
      <c r="CB1788" s="4"/>
      <c r="CC1788" s="4"/>
      <c r="CD1788" s="4"/>
      <c r="CE1788" s="4"/>
      <c r="CF1788" s="4"/>
      <c r="CG1788" s="4"/>
      <c r="CH1788" s="4"/>
      <c r="CI1788" s="4"/>
      <c r="CJ1788" s="4"/>
      <c r="CK1788" s="4"/>
      <c r="CL1788" s="4"/>
      <c r="CM1788" s="4"/>
      <c r="CN1788" s="4"/>
      <c r="CO1788" s="4"/>
      <c r="CP1788" s="4"/>
      <c r="CQ1788" s="4"/>
      <c r="CR1788" s="4"/>
      <c r="CS1788" s="4"/>
      <c r="CT1788" s="4"/>
    </row>
    <row r="1789" spans="1:122" x14ac:dyDescent="0.25">
      <c r="A1789" s="2" t="s">
        <v>15</v>
      </c>
      <c r="B1789" s="2" t="str">
        <f>"FES1162769786"</f>
        <v>FES1162769786</v>
      </c>
      <c r="C1789" s="2" t="s">
        <v>1266</v>
      </c>
      <c r="D1789" s="2">
        <v>1</v>
      </c>
      <c r="E1789" s="2" t="str">
        <f>"2170757023"</f>
        <v>2170757023</v>
      </c>
      <c r="F1789" s="2" t="s">
        <v>17</v>
      </c>
      <c r="G1789" s="2" t="s">
        <v>18</v>
      </c>
      <c r="H1789" s="2" t="s">
        <v>18</v>
      </c>
      <c r="I1789" s="2" t="s">
        <v>63</v>
      </c>
      <c r="J1789" s="2" t="s">
        <v>1401</v>
      </c>
      <c r="K1789" s="2" t="s">
        <v>1353</v>
      </c>
      <c r="L1789" s="3">
        <v>0.43055555555555558</v>
      </c>
      <c r="M1789" s="2" t="s">
        <v>1467</v>
      </c>
      <c r="N1789" s="2" t="s">
        <v>500</v>
      </c>
      <c r="O1789" s="5"/>
      <c r="P1789" s="4"/>
      <c r="Q1789" s="4"/>
      <c r="R1789" s="4"/>
      <c r="S1789" s="4"/>
      <c r="T1789" s="4"/>
      <c r="U1789" s="4"/>
      <c r="V1789" s="4"/>
      <c r="W1789" s="4"/>
      <c r="X1789" s="4"/>
      <c r="Y1789" s="4"/>
      <c r="Z1789" s="4"/>
      <c r="AA1789" s="4"/>
      <c r="AB1789" s="4"/>
      <c r="AC1789" s="4"/>
      <c r="AD1789" s="4"/>
      <c r="AE1789" s="4"/>
      <c r="AF1789" s="4"/>
      <c r="AG1789" s="4"/>
      <c r="AH1789" s="4"/>
      <c r="AI1789" s="4"/>
      <c r="AJ1789" s="4"/>
      <c r="AK1789" s="4"/>
      <c r="AL1789" s="4"/>
      <c r="AM1789" s="4"/>
      <c r="AN1789" s="4"/>
      <c r="AO1789" s="4"/>
      <c r="AP1789" s="4"/>
      <c r="AQ1789" s="4"/>
      <c r="AR1789" s="4"/>
      <c r="AS1789" s="4"/>
      <c r="AT1789" s="4"/>
      <c r="AU1789" s="4"/>
      <c r="AV1789" s="4"/>
      <c r="AW1789" s="4"/>
      <c r="AX1789" s="4"/>
      <c r="AY1789" s="4"/>
      <c r="AZ1789" s="4"/>
      <c r="BA1789" s="4"/>
      <c r="BB1789" s="4"/>
      <c r="BC1789" s="4"/>
      <c r="BD1789" s="4"/>
      <c r="BE1789" s="4"/>
      <c r="BF1789" s="4"/>
      <c r="BG1789" s="4"/>
      <c r="BH1789" s="4"/>
      <c r="BI1789" s="4"/>
      <c r="BJ1789" s="4"/>
      <c r="BK1789" s="4"/>
      <c r="BL1789" s="4"/>
      <c r="BM1789" s="4"/>
      <c r="BN1789" s="4"/>
      <c r="BO1789" s="4"/>
      <c r="BP1789" s="4"/>
      <c r="BQ1789" s="4"/>
      <c r="BR1789" s="4"/>
      <c r="BS1789" s="4"/>
      <c r="BT1789" s="4"/>
      <c r="BU1789" s="4"/>
      <c r="BV1789" s="4"/>
      <c r="BW1789" s="4"/>
      <c r="BX1789" s="4"/>
      <c r="BY1789" s="4"/>
      <c r="BZ1789" s="4"/>
      <c r="CA1789" s="4"/>
      <c r="CB1789" s="4"/>
      <c r="CC1789" s="4"/>
      <c r="CD1789" s="4"/>
      <c r="CE1789" s="4"/>
      <c r="CF1789" s="4"/>
      <c r="CG1789" s="4"/>
      <c r="CH1789" s="4"/>
      <c r="CI1789" s="4"/>
      <c r="CJ1789" s="4"/>
      <c r="CK1789" s="4"/>
      <c r="CL1789" s="4"/>
      <c r="CM1789" s="4"/>
      <c r="CN1789" s="4"/>
      <c r="CO1789" s="4"/>
      <c r="CP1789" s="4"/>
      <c r="CQ1789" s="4"/>
      <c r="CR1789" s="4"/>
      <c r="CS1789" s="4"/>
      <c r="CT1789" s="4"/>
    </row>
    <row r="1790" spans="1:122" x14ac:dyDescent="0.25">
      <c r="A1790" s="5" t="s">
        <v>15</v>
      </c>
      <c r="B1790" s="5" t="str">
        <f>"FES1162769699"</f>
        <v>FES1162769699</v>
      </c>
      <c r="C1790" s="5" t="s">
        <v>1266</v>
      </c>
      <c r="D1790" s="5">
        <v>1</v>
      </c>
      <c r="E1790" s="5" t="str">
        <f>"2170756835"</f>
        <v>2170756835</v>
      </c>
      <c r="F1790" s="5" t="s">
        <v>17</v>
      </c>
      <c r="G1790" s="5" t="s">
        <v>18</v>
      </c>
      <c r="H1790" s="5" t="s">
        <v>25</v>
      </c>
      <c r="I1790" s="5" t="s">
        <v>624</v>
      </c>
      <c r="J1790" s="5" t="s">
        <v>625</v>
      </c>
      <c r="K1790" s="5" t="s">
        <v>1897</v>
      </c>
      <c r="L1790" s="9">
        <v>0.43472222222222223</v>
      </c>
      <c r="M1790" s="5" t="s">
        <v>2236</v>
      </c>
      <c r="N1790" s="5" t="s">
        <v>500</v>
      </c>
      <c r="O1790" s="5"/>
      <c r="P1790" s="4"/>
      <c r="Q1790" s="4"/>
      <c r="R1790" s="4"/>
      <c r="S1790" s="4"/>
      <c r="T1790" s="4"/>
      <c r="U1790" s="4"/>
      <c r="V1790" s="4"/>
      <c r="W1790" s="4"/>
      <c r="X1790" s="4"/>
      <c r="Y1790" s="4"/>
      <c r="Z1790" s="4"/>
      <c r="AA1790" s="4"/>
      <c r="AB1790" s="4"/>
      <c r="AC1790" s="4"/>
      <c r="AD1790" s="4"/>
      <c r="AE1790" s="4"/>
      <c r="AF1790" s="4"/>
      <c r="AG1790" s="4"/>
      <c r="AH1790" s="4"/>
      <c r="AI1790" s="4"/>
      <c r="AJ1790" s="4"/>
      <c r="AK1790" s="4"/>
      <c r="AL1790" s="4"/>
      <c r="AM1790" s="4"/>
      <c r="AN1790" s="4"/>
      <c r="AO1790" s="4"/>
      <c r="AP1790" s="4"/>
      <c r="AQ1790" s="4"/>
      <c r="AR1790" s="4"/>
      <c r="AS1790" s="4"/>
      <c r="AT1790" s="4"/>
      <c r="AU1790" s="4"/>
      <c r="AV1790" s="4"/>
      <c r="AW1790" s="4"/>
      <c r="AX1790" s="4"/>
      <c r="AY1790" s="4"/>
      <c r="AZ1790" s="4"/>
      <c r="BA1790" s="4"/>
      <c r="BB1790" s="4"/>
      <c r="BC1790" s="4"/>
      <c r="BD1790" s="4"/>
      <c r="BE1790" s="4"/>
      <c r="BF1790" s="4"/>
      <c r="BG1790" s="4"/>
      <c r="BH1790" s="4"/>
      <c r="BI1790" s="4"/>
      <c r="BJ1790" s="4"/>
      <c r="BK1790" s="4"/>
      <c r="BL1790" s="4"/>
      <c r="BM1790" s="4"/>
      <c r="BN1790" s="4"/>
      <c r="BO1790" s="4"/>
      <c r="BP1790" s="4"/>
      <c r="BQ1790" s="4"/>
      <c r="BR1790" s="4"/>
      <c r="BS1790" s="4"/>
      <c r="BT1790" s="4"/>
      <c r="BU1790" s="4"/>
      <c r="BV1790" s="4"/>
      <c r="BW1790" s="4"/>
      <c r="BX1790" s="4"/>
      <c r="BY1790" s="4"/>
      <c r="BZ1790" s="4"/>
      <c r="CA1790" s="4"/>
      <c r="CB1790" s="4"/>
      <c r="CC1790" s="4"/>
      <c r="CD1790" s="4"/>
      <c r="CE1790" s="4"/>
      <c r="CF1790" s="4"/>
      <c r="CG1790" s="4"/>
      <c r="CH1790" s="4"/>
      <c r="CI1790" s="4"/>
      <c r="CJ1790" s="4"/>
      <c r="CK1790" s="4"/>
      <c r="CL1790" s="4"/>
      <c r="CM1790" s="4"/>
      <c r="CN1790" s="4"/>
      <c r="CO1790" s="4"/>
      <c r="CP1790" s="4"/>
      <c r="CQ1790" s="4"/>
      <c r="CR1790" s="4"/>
      <c r="CS1790" s="4"/>
      <c r="CT1790" s="4"/>
    </row>
    <row r="1791" spans="1:122" x14ac:dyDescent="0.25">
      <c r="A1791" s="5" t="s">
        <v>15</v>
      </c>
      <c r="B1791" s="5" t="str">
        <f>"FES1162769556"</f>
        <v>FES1162769556</v>
      </c>
      <c r="C1791" s="5" t="s">
        <v>1266</v>
      </c>
      <c r="D1791" s="5">
        <v>1</v>
      </c>
      <c r="E1791" s="5" t="str">
        <f>"2170756542"</f>
        <v>2170756542</v>
      </c>
      <c r="F1791" s="5" t="s">
        <v>17</v>
      </c>
      <c r="G1791" s="5" t="s">
        <v>18</v>
      </c>
      <c r="H1791" s="5" t="s">
        <v>25</v>
      </c>
      <c r="I1791" s="5" t="s">
        <v>39</v>
      </c>
      <c r="J1791" s="5" t="s">
        <v>40</v>
      </c>
      <c r="K1791" s="5" t="s">
        <v>1353</v>
      </c>
      <c r="L1791" s="9">
        <v>0.43402777777777773</v>
      </c>
      <c r="M1791" s="5" t="s">
        <v>1464</v>
      </c>
      <c r="N1791" s="5" t="s">
        <v>500</v>
      </c>
      <c r="O1791" s="5"/>
      <c r="P1791" s="4"/>
      <c r="Q1791" s="4"/>
      <c r="R1791" s="4"/>
      <c r="S1791" s="4"/>
      <c r="T1791" s="4"/>
      <c r="U1791" s="4"/>
      <c r="V1791" s="4"/>
      <c r="W1791" s="4"/>
      <c r="X1791" s="4"/>
      <c r="Y1791" s="4"/>
      <c r="Z1791" s="4"/>
      <c r="AA1791" s="4"/>
      <c r="AB1791" s="4"/>
      <c r="AC1791" s="4"/>
      <c r="AD1791" s="4"/>
      <c r="AE1791" s="4"/>
      <c r="AF1791" s="4"/>
      <c r="AG1791" s="4"/>
      <c r="AH1791" s="4"/>
      <c r="AI1791" s="4"/>
      <c r="AJ1791" s="4"/>
      <c r="AK1791" s="4"/>
      <c r="AL1791" s="4"/>
      <c r="AM1791" s="4"/>
      <c r="AN1791" s="4"/>
      <c r="AO1791" s="4"/>
      <c r="AP1791" s="4"/>
      <c r="AQ1791" s="4"/>
      <c r="AR1791" s="4"/>
      <c r="AS1791" s="4"/>
      <c r="AT1791" s="4"/>
      <c r="AU1791" s="4"/>
      <c r="AV1791" s="4"/>
      <c r="AW1791" s="4"/>
      <c r="AX1791" s="4"/>
      <c r="AY1791" s="4"/>
      <c r="AZ1791" s="4"/>
      <c r="BA1791" s="4"/>
      <c r="BB1791" s="4"/>
      <c r="BC1791" s="4"/>
      <c r="BD1791" s="4"/>
      <c r="BE1791" s="4"/>
      <c r="BF1791" s="4"/>
      <c r="BG1791" s="4"/>
      <c r="BH1791" s="4"/>
      <c r="BI1791" s="4"/>
      <c r="BJ1791" s="4"/>
      <c r="BK1791" s="4"/>
      <c r="BL1791" s="4"/>
      <c r="BM1791" s="4"/>
      <c r="BN1791" s="4"/>
      <c r="BO1791" s="4"/>
      <c r="BP1791" s="4"/>
      <c r="BQ1791" s="4"/>
      <c r="BR1791" s="4"/>
      <c r="BS1791" s="4"/>
      <c r="BT1791" s="4"/>
      <c r="BU1791" s="4"/>
      <c r="BV1791" s="4"/>
      <c r="BW1791" s="4"/>
      <c r="BX1791" s="4"/>
      <c r="BY1791" s="4"/>
      <c r="BZ1791" s="4"/>
      <c r="CA1791" s="4"/>
      <c r="CB1791" s="4"/>
      <c r="CC1791" s="4"/>
      <c r="CD1791" s="4"/>
      <c r="CE1791" s="4"/>
      <c r="CF1791" s="4"/>
      <c r="CG1791" s="4"/>
      <c r="CH1791" s="4"/>
      <c r="CI1791" s="4"/>
      <c r="CJ1791" s="4"/>
      <c r="CK1791" s="4"/>
      <c r="CL1791" s="4"/>
      <c r="CM1791" s="4"/>
      <c r="CN1791" s="4"/>
      <c r="CO1791" s="4"/>
      <c r="CP1791" s="4"/>
      <c r="CQ1791" s="4"/>
      <c r="CR1791" s="4"/>
      <c r="CS1791" s="4"/>
      <c r="CT1791" s="4"/>
    </row>
    <row r="1792" spans="1:122" x14ac:dyDescent="0.25">
      <c r="A1792" s="2" t="s">
        <v>15</v>
      </c>
      <c r="B1792" s="2" t="str">
        <f>"FES1162769822"</f>
        <v>FES1162769822</v>
      </c>
      <c r="C1792" s="2" t="s">
        <v>1266</v>
      </c>
      <c r="D1792" s="2">
        <v>1</v>
      </c>
      <c r="E1792" s="2" t="str">
        <f>"2170757080"</f>
        <v>2170757080</v>
      </c>
      <c r="F1792" s="2" t="s">
        <v>17</v>
      </c>
      <c r="G1792" s="2" t="s">
        <v>18</v>
      </c>
      <c r="H1792" s="2" t="s">
        <v>25</v>
      </c>
      <c r="I1792" s="2" t="s">
        <v>42</v>
      </c>
      <c r="J1792" s="2" t="s">
        <v>43</v>
      </c>
      <c r="K1792" s="2" t="s">
        <v>1353</v>
      </c>
      <c r="L1792" s="3">
        <v>0.63541666666666663</v>
      </c>
      <c r="M1792" s="2" t="s">
        <v>180</v>
      </c>
      <c r="N1792" s="2" t="s">
        <v>500</v>
      </c>
      <c r="O1792" s="5"/>
      <c r="P1792" s="4"/>
      <c r="Q1792" s="4"/>
      <c r="R1792" s="4"/>
      <c r="S1792" s="4"/>
      <c r="T1792" s="4"/>
      <c r="U1792" s="4"/>
      <c r="V1792" s="4"/>
      <c r="W1792" s="4"/>
      <c r="X1792" s="4"/>
      <c r="Y1792" s="4"/>
      <c r="Z1792" s="4"/>
      <c r="AA1792" s="4"/>
      <c r="AB1792" s="4"/>
      <c r="AC1792" s="4"/>
      <c r="AD1792" s="4"/>
      <c r="AE1792" s="4"/>
      <c r="AF1792" s="4"/>
      <c r="AG1792" s="4"/>
      <c r="AH1792" s="4"/>
      <c r="AI1792" s="4"/>
      <c r="AJ1792" s="4"/>
      <c r="AK1792" s="4"/>
      <c r="AL1792" s="4"/>
      <c r="AM1792" s="4"/>
      <c r="AN1792" s="4"/>
      <c r="AO1792" s="4"/>
      <c r="AP1792" s="4"/>
      <c r="AQ1792" s="4"/>
      <c r="AR1792" s="4"/>
      <c r="AS1792" s="4"/>
      <c r="AT1792" s="4"/>
      <c r="AU1792" s="4"/>
      <c r="AV1792" s="4"/>
      <c r="AW1792" s="4"/>
      <c r="AX1792" s="4"/>
      <c r="AY1792" s="4"/>
      <c r="AZ1792" s="4"/>
      <c r="BA1792" s="4"/>
      <c r="BB1792" s="4"/>
      <c r="BC1792" s="4"/>
      <c r="BD1792" s="4"/>
      <c r="BE1792" s="4"/>
      <c r="BF1792" s="4"/>
      <c r="BG1792" s="4"/>
      <c r="BH1792" s="4"/>
      <c r="BI1792" s="4"/>
      <c r="BJ1792" s="4"/>
      <c r="BK1792" s="4"/>
      <c r="BL1792" s="4"/>
      <c r="BM1792" s="4"/>
      <c r="BN1792" s="4"/>
      <c r="BO1792" s="4"/>
      <c r="BP1792" s="4"/>
      <c r="BQ1792" s="4"/>
      <c r="BR1792" s="4"/>
      <c r="BS1792" s="4"/>
      <c r="BT1792" s="4"/>
      <c r="BU1792" s="4"/>
      <c r="BV1792" s="4"/>
      <c r="BW1792" s="4"/>
      <c r="BX1792" s="4"/>
      <c r="BY1792" s="4"/>
      <c r="BZ1792" s="4"/>
      <c r="CA1792" s="4"/>
      <c r="CB1792" s="4"/>
      <c r="CC1792" s="4"/>
      <c r="CD1792" s="4"/>
      <c r="CE1792" s="4"/>
      <c r="CF1792" s="4"/>
      <c r="CG1792" s="4"/>
      <c r="CH1792" s="4"/>
      <c r="CI1792" s="4"/>
      <c r="CJ1792" s="4"/>
      <c r="CK1792" s="4"/>
      <c r="CL1792" s="4"/>
      <c r="CM1792" s="4"/>
      <c r="CN1792" s="4"/>
      <c r="CO1792" s="4"/>
      <c r="CP1792" s="4"/>
      <c r="CQ1792" s="4"/>
      <c r="CR1792" s="4"/>
      <c r="CS1792" s="4"/>
      <c r="CT1792" s="4"/>
    </row>
    <row r="1793" spans="1:98" x14ac:dyDescent="0.25">
      <c r="A1793" s="2" t="s">
        <v>15</v>
      </c>
      <c r="B1793" s="2" t="str">
        <f>"FES1162769709"</f>
        <v>FES1162769709</v>
      </c>
      <c r="C1793" s="2" t="s">
        <v>1266</v>
      </c>
      <c r="D1793" s="2">
        <v>1</v>
      </c>
      <c r="E1793" s="2" t="str">
        <f>"2170756850"</f>
        <v>2170756850</v>
      </c>
      <c r="F1793" s="2" t="s">
        <v>17</v>
      </c>
      <c r="G1793" s="2" t="s">
        <v>18</v>
      </c>
      <c r="H1793" s="2" t="s">
        <v>25</v>
      </c>
      <c r="I1793" s="2" t="s">
        <v>42</v>
      </c>
      <c r="J1793" s="2" t="s">
        <v>651</v>
      </c>
      <c r="K1793" s="2" t="s">
        <v>1353</v>
      </c>
      <c r="L1793" s="3">
        <v>0.62569444444444444</v>
      </c>
      <c r="M1793" s="2" t="s">
        <v>1468</v>
      </c>
      <c r="N1793" s="2" t="s">
        <v>500</v>
      </c>
      <c r="O1793" s="5"/>
      <c r="P1793" s="4"/>
      <c r="Q1793" s="4"/>
      <c r="R1793" s="4"/>
      <c r="S1793" s="4"/>
      <c r="T1793" s="4"/>
      <c r="U1793" s="4"/>
      <c r="V1793" s="4"/>
      <c r="W1793" s="4"/>
      <c r="X1793" s="4"/>
      <c r="Y1793" s="4"/>
      <c r="Z1793" s="4"/>
      <c r="AA1793" s="4"/>
      <c r="AB1793" s="4"/>
      <c r="AC1793" s="4"/>
      <c r="AD1793" s="4"/>
      <c r="AE1793" s="4"/>
      <c r="AF1793" s="4"/>
      <c r="AG1793" s="4"/>
      <c r="AH1793" s="4"/>
      <c r="AI1793" s="4"/>
      <c r="AJ1793" s="4"/>
      <c r="AK1793" s="4"/>
      <c r="AL1793" s="4"/>
      <c r="AM1793" s="4"/>
      <c r="AN1793" s="4"/>
      <c r="AO1793" s="4"/>
      <c r="AP1793" s="4"/>
      <c r="AQ1793" s="4"/>
      <c r="AR1793" s="4"/>
      <c r="AS1793" s="4"/>
      <c r="AT1793" s="4"/>
      <c r="AU1793" s="4"/>
      <c r="AV1793" s="4"/>
      <c r="AW1793" s="4"/>
      <c r="AX1793" s="4"/>
      <c r="AY1793" s="4"/>
      <c r="AZ1793" s="4"/>
      <c r="BA1793" s="4"/>
      <c r="BB1793" s="4"/>
      <c r="BC1793" s="4"/>
      <c r="BD1793" s="4"/>
      <c r="BE1793" s="4"/>
      <c r="BF1793" s="4"/>
      <c r="BG1793" s="4"/>
      <c r="BH1793" s="4"/>
      <c r="BI1793" s="4"/>
      <c r="BJ1793" s="4"/>
      <c r="BK1793" s="4"/>
      <c r="BL1793" s="4"/>
      <c r="BM1793" s="4"/>
      <c r="BN1793" s="4"/>
      <c r="BO1793" s="4"/>
      <c r="BP1793" s="4"/>
      <c r="BQ1793" s="4"/>
      <c r="BR1793" s="4"/>
      <c r="BS1793" s="4"/>
      <c r="BT1793" s="4"/>
      <c r="BU1793" s="4"/>
      <c r="BV1793" s="4"/>
      <c r="BW1793" s="4"/>
      <c r="BX1793" s="4"/>
      <c r="BY1793" s="4"/>
      <c r="BZ1793" s="4"/>
      <c r="CA1793" s="4"/>
      <c r="CB1793" s="4"/>
      <c r="CC1793" s="4"/>
      <c r="CD1793" s="4"/>
      <c r="CE1793" s="4"/>
      <c r="CF1793" s="4"/>
      <c r="CG1793" s="4"/>
      <c r="CH1793" s="4"/>
      <c r="CI1793" s="4"/>
      <c r="CJ1793" s="4"/>
      <c r="CK1793" s="4"/>
      <c r="CL1793" s="4"/>
      <c r="CM1793" s="4"/>
      <c r="CN1793" s="4"/>
      <c r="CO1793" s="4"/>
      <c r="CP1793" s="4"/>
      <c r="CQ1793" s="4"/>
      <c r="CR1793" s="4"/>
      <c r="CS1793" s="4"/>
      <c r="CT1793" s="4"/>
    </row>
    <row r="1794" spans="1:98" x14ac:dyDescent="0.25">
      <c r="A1794" s="2" t="s">
        <v>15</v>
      </c>
      <c r="B1794" s="2" t="str">
        <f>"FES1162769629"</f>
        <v>FES1162769629</v>
      </c>
      <c r="C1794" s="2" t="s">
        <v>1266</v>
      </c>
      <c r="D1794" s="2">
        <v>1</v>
      </c>
      <c r="E1794" s="2" t="str">
        <f>"2170756707"</f>
        <v>2170756707</v>
      </c>
      <c r="F1794" s="2" t="s">
        <v>17</v>
      </c>
      <c r="G1794" s="2" t="s">
        <v>18</v>
      </c>
      <c r="H1794" s="2" t="s">
        <v>25</v>
      </c>
      <c r="I1794" s="2" t="s">
        <v>26</v>
      </c>
      <c r="J1794" s="2" t="s">
        <v>75</v>
      </c>
      <c r="K1794" s="2" t="s">
        <v>1353</v>
      </c>
      <c r="L1794" s="3">
        <v>0.39097222222222222</v>
      </c>
      <c r="M1794" s="2" t="s">
        <v>518</v>
      </c>
      <c r="N1794" s="2" t="s">
        <v>500</v>
      </c>
      <c r="O1794" s="5"/>
      <c r="P1794" s="4"/>
      <c r="Q1794" s="4"/>
      <c r="R1794" s="4"/>
      <c r="S1794" s="4"/>
      <c r="T1794" s="4"/>
      <c r="U1794" s="4"/>
      <c r="V1794" s="4"/>
      <c r="W1794" s="4"/>
      <c r="X1794" s="4"/>
      <c r="Y1794" s="4"/>
      <c r="Z1794" s="4"/>
      <c r="AA1794" s="4"/>
      <c r="AB1794" s="4"/>
      <c r="AC1794" s="4"/>
      <c r="AD1794" s="4"/>
      <c r="AE1794" s="4"/>
      <c r="AF1794" s="4"/>
      <c r="AG1794" s="4"/>
      <c r="AH1794" s="4"/>
      <c r="AI1794" s="4"/>
      <c r="AJ1794" s="4"/>
      <c r="AK1794" s="4"/>
      <c r="AL1794" s="4"/>
      <c r="AM1794" s="4"/>
      <c r="AN1794" s="4"/>
      <c r="AO1794" s="4"/>
      <c r="AP1794" s="4"/>
      <c r="AQ1794" s="4"/>
      <c r="AR1794" s="4"/>
      <c r="AS1794" s="4"/>
      <c r="AT1794" s="4"/>
      <c r="AU1794" s="4"/>
      <c r="AV1794" s="4"/>
      <c r="AW1794" s="4"/>
      <c r="AX1794" s="4"/>
      <c r="AY1794" s="4"/>
      <c r="AZ1794" s="4"/>
      <c r="BA1794" s="4"/>
      <c r="BB1794" s="4"/>
      <c r="BC1794" s="4"/>
      <c r="BD1794" s="4"/>
      <c r="BE1794" s="4"/>
      <c r="BF1794" s="4"/>
      <c r="BG1794" s="4"/>
      <c r="BH1794" s="4"/>
      <c r="BI1794" s="4"/>
      <c r="BJ1794" s="4"/>
      <c r="BK1794" s="4"/>
      <c r="BL1794" s="4"/>
      <c r="BM1794" s="4"/>
      <c r="BN1794" s="4"/>
      <c r="BO1794" s="4"/>
      <c r="BP1794" s="4"/>
      <c r="BQ1794" s="4"/>
      <c r="BR1794" s="4"/>
      <c r="BS1794" s="4"/>
      <c r="BT1794" s="4"/>
      <c r="BU1794" s="4"/>
      <c r="BV1794" s="4"/>
      <c r="BW1794" s="4"/>
      <c r="BX1794" s="4"/>
      <c r="BY1794" s="4"/>
      <c r="BZ1794" s="4"/>
      <c r="CA1794" s="4"/>
      <c r="CB1794" s="4"/>
      <c r="CC1794" s="4"/>
      <c r="CD1794" s="4"/>
      <c r="CE1794" s="4"/>
      <c r="CF1794" s="4"/>
      <c r="CG1794" s="4"/>
      <c r="CH1794" s="4"/>
      <c r="CI1794" s="4"/>
      <c r="CJ1794" s="4"/>
      <c r="CK1794" s="4"/>
      <c r="CL1794" s="4"/>
      <c r="CM1794" s="4"/>
      <c r="CN1794" s="4"/>
      <c r="CO1794" s="4"/>
      <c r="CP1794" s="4"/>
      <c r="CQ1794" s="4"/>
      <c r="CR1794" s="4"/>
      <c r="CS1794" s="4"/>
      <c r="CT1794" s="4"/>
    </row>
    <row r="1795" spans="1:98" x14ac:dyDescent="0.25">
      <c r="A1795" s="2" t="s">
        <v>15</v>
      </c>
      <c r="B1795" s="2" t="str">
        <f>"FES1162769570"</f>
        <v>FES1162769570</v>
      </c>
      <c r="C1795" s="2" t="s">
        <v>1266</v>
      </c>
      <c r="D1795" s="2">
        <v>1</v>
      </c>
      <c r="E1795" s="2" t="str">
        <f>"2170756599"</f>
        <v>2170756599</v>
      </c>
      <c r="F1795" s="2" t="s">
        <v>17</v>
      </c>
      <c r="G1795" s="2" t="s">
        <v>18</v>
      </c>
      <c r="H1795" s="2" t="s">
        <v>25</v>
      </c>
      <c r="I1795" s="2" t="s">
        <v>26</v>
      </c>
      <c r="J1795" s="2" t="s">
        <v>75</v>
      </c>
      <c r="K1795" s="2" t="s">
        <v>1353</v>
      </c>
      <c r="L1795" s="3">
        <v>0.3923611111111111</v>
      </c>
      <c r="M1795" s="2" t="s">
        <v>518</v>
      </c>
      <c r="N1795" s="2" t="s">
        <v>500</v>
      </c>
      <c r="O1795" s="5"/>
      <c r="P1795" s="4"/>
      <c r="Q1795" s="4"/>
      <c r="R1795" s="4"/>
      <c r="S1795" s="4"/>
      <c r="T1795" s="4"/>
      <c r="U1795" s="4"/>
      <c r="V1795" s="4"/>
      <c r="W1795" s="4"/>
      <c r="X1795" s="4"/>
      <c r="Y1795" s="4"/>
      <c r="Z1795" s="4"/>
      <c r="AA1795" s="4"/>
      <c r="AB1795" s="4"/>
      <c r="AC1795" s="4"/>
      <c r="AD1795" s="4"/>
      <c r="AE1795" s="4"/>
      <c r="AF1795" s="4"/>
      <c r="AG1795" s="4"/>
      <c r="AH1795" s="4"/>
      <c r="AI1795" s="4"/>
      <c r="AJ1795" s="4"/>
      <c r="AK1795" s="4"/>
      <c r="AL1795" s="4"/>
      <c r="AM1795" s="4"/>
      <c r="AN1795" s="4"/>
      <c r="AO1795" s="4"/>
      <c r="AP1795" s="4"/>
      <c r="AQ1795" s="4"/>
      <c r="AR1795" s="4"/>
      <c r="AS1795" s="4"/>
      <c r="AT1795" s="4"/>
      <c r="AU1795" s="4"/>
      <c r="AV1795" s="4"/>
      <c r="AW1795" s="4"/>
      <c r="AX1795" s="4"/>
      <c r="AY1795" s="4"/>
      <c r="AZ1795" s="4"/>
      <c r="BA1795" s="4"/>
      <c r="BB1795" s="4"/>
      <c r="BC1795" s="4"/>
      <c r="BD1795" s="4"/>
      <c r="BE1795" s="4"/>
      <c r="BF1795" s="4"/>
      <c r="BG1795" s="4"/>
      <c r="BH1795" s="4"/>
      <c r="BI1795" s="4"/>
      <c r="BJ1795" s="4"/>
      <c r="BK1795" s="4"/>
      <c r="BL1795" s="4"/>
      <c r="BM1795" s="4"/>
      <c r="BN1795" s="4"/>
      <c r="BO1795" s="4"/>
      <c r="BP1795" s="4"/>
      <c r="BQ1795" s="4"/>
      <c r="BR1795" s="4"/>
      <c r="BS1795" s="4"/>
      <c r="BT1795" s="4"/>
      <c r="BU1795" s="4"/>
      <c r="BV1795" s="4"/>
      <c r="BW1795" s="4"/>
      <c r="BX1795" s="4"/>
      <c r="BY1795" s="4"/>
      <c r="BZ1795" s="4"/>
      <c r="CA1795" s="4"/>
      <c r="CB1795" s="4"/>
      <c r="CC1795" s="4"/>
      <c r="CD1795" s="4"/>
      <c r="CE1795" s="4"/>
      <c r="CF1795" s="4"/>
      <c r="CG1795" s="4"/>
      <c r="CH1795" s="4"/>
      <c r="CI1795" s="4"/>
      <c r="CJ1795" s="4"/>
      <c r="CK1795" s="4"/>
      <c r="CL1795" s="4"/>
      <c r="CM1795" s="4"/>
      <c r="CN1795" s="4"/>
      <c r="CO1795" s="4"/>
      <c r="CP1795" s="4"/>
      <c r="CQ1795" s="4"/>
      <c r="CR1795" s="4"/>
      <c r="CS1795" s="4"/>
      <c r="CT1795" s="4"/>
    </row>
    <row r="1796" spans="1:98" x14ac:dyDescent="0.25">
      <c r="A1796" s="2" t="s">
        <v>15</v>
      </c>
      <c r="B1796" s="2" t="str">
        <f>"FES1162769585"</f>
        <v>FES1162769585</v>
      </c>
      <c r="C1796" s="2" t="s">
        <v>1266</v>
      </c>
      <c r="D1796" s="2">
        <v>1</v>
      </c>
      <c r="E1796" s="2" t="str">
        <f>"2170756629"</f>
        <v>2170756629</v>
      </c>
      <c r="F1796" s="2" t="s">
        <v>17</v>
      </c>
      <c r="G1796" s="2" t="s">
        <v>18</v>
      </c>
      <c r="H1796" s="2" t="s">
        <v>25</v>
      </c>
      <c r="I1796" s="2" t="s">
        <v>26</v>
      </c>
      <c r="J1796" s="2" t="s">
        <v>94</v>
      </c>
      <c r="K1796" s="2" t="s">
        <v>1353</v>
      </c>
      <c r="L1796" s="3">
        <v>0.41666666666666669</v>
      </c>
      <c r="M1796" s="2" t="s">
        <v>1114</v>
      </c>
      <c r="N1796" s="2" t="s">
        <v>500</v>
      </c>
      <c r="O1796" s="5"/>
      <c r="P1796" s="4"/>
      <c r="Q1796" s="4"/>
      <c r="R1796" s="4"/>
      <c r="S1796" s="4"/>
      <c r="T1796" s="4"/>
      <c r="U1796" s="4"/>
      <c r="V1796" s="4"/>
      <c r="W1796" s="4"/>
      <c r="X1796" s="4"/>
      <c r="Y1796" s="4"/>
      <c r="Z1796" s="4"/>
      <c r="AA1796" s="4"/>
      <c r="AB1796" s="4"/>
      <c r="AC1796" s="4"/>
      <c r="AD1796" s="4"/>
      <c r="AE1796" s="4"/>
      <c r="AF1796" s="4"/>
      <c r="AG1796" s="4"/>
      <c r="AH1796" s="4"/>
      <c r="AI1796" s="4"/>
      <c r="AJ1796" s="4"/>
      <c r="AK1796" s="4"/>
      <c r="AL1796" s="4"/>
      <c r="AM1796" s="4"/>
      <c r="AN1796" s="4"/>
      <c r="AO1796" s="4"/>
      <c r="AP1796" s="4"/>
      <c r="AQ1796" s="4"/>
      <c r="AR1796" s="4"/>
      <c r="AS1796" s="4"/>
      <c r="AT1796" s="4"/>
      <c r="AU1796" s="4"/>
      <c r="AV1796" s="4"/>
      <c r="AW1796" s="4"/>
      <c r="AX1796" s="4"/>
      <c r="AY1796" s="4"/>
      <c r="AZ1796" s="4"/>
      <c r="BA1796" s="4"/>
      <c r="BB1796" s="4"/>
      <c r="BC1796" s="4"/>
      <c r="BD1796" s="4"/>
      <c r="BE1796" s="4"/>
      <c r="BF1796" s="4"/>
      <c r="BG1796" s="4"/>
      <c r="BH1796" s="4"/>
      <c r="BI1796" s="4"/>
      <c r="BJ1796" s="4"/>
      <c r="BK1796" s="4"/>
      <c r="BL1796" s="4"/>
      <c r="BM1796" s="4"/>
      <c r="BN1796" s="4"/>
      <c r="BO1796" s="4"/>
      <c r="BP1796" s="4"/>
      <c r="BQ1796" s="4"/>
      <c r="BR1796" s="4"/>
      <c r="BS1796" s="4"/>
      <c r="BT1796" s="4"/>
      <c r="BU1796" s="4"/>
      <c r="BV1796" s="4"/>
      <c r="BW1796" s="4"/>
      <c r="BX1796" s="4"/>
      <c r="BY1796" s="4"/>
      <c r="BZ1796" s="4"/>
      <c r="CA1796" s="4"/>
      <c r="CB1796" s="4"/>
      <c r="CC1796" s="4"/>
      <c r="CD1796" s="4"/>
      <c r="CE1796" s="4"/>
      <c r="CF1796" s="4"/>
      <c r="CG1796" s="4"/>
      <c r="CH1796" s="4"/>
      <c r="CI1796" s="4"/>
      <c r="CJ1796" s="4"/>
      <c r="CK1796" s="4"/>
      <c r="CL1796" s="4"/>
      <c r="CM1796" s="4"/>
      <c r="CN1796" s="4"/>
      <c r="CO1796" s="4"/>
      <c r="CP1796" s="4"/>
      <c r="CQ1796" s="4"/>
      <c r="CR1796" s="4"/>
      <c r="CS1796" s="4"/>
      <c r="CT1796" s="4"/>
    </row>
    <row r="1797" spans="1:98" x14ac:dyDescent="0.25">
      <c r="A1797" s="2" t="s">
        <v>15</v>
      </c>
      <c r="B1797" s="2" t="str">
        <f>"FES1162770013"</f>
        <v>FES1162770013</v>
      </c>
      <c r="C1797" s="2" t="s">
        <v>1266</v>
      </c>
      <c r="D1797" s="2">
        <v>1</v>
      </c>
      <c r="E1797" s="2" t="str">
        <f>"2170757239"</f>
        <v>2170757239</v>
      </c>
      <c r="F1797" s="2" t="s">
        <v>17</v>
      </c>
      <c r="G1797" s="2" t="s">
        <v>18</v>
      </c>
      <c r="H1797" s="2" t="s">
        <v>78</v>
      </c>
      <c r="I1797" s="2" t="s">
        <v>79</v>
      </c>
      <c r="J1797" s="2" t="s">
        <v>81</v>
      </c>
      <c r="K1797" s="2" t="s">
        <v>1353</v>
      </c>
      <c r="L1797" s="3">
        <v>0.36805555555555558</v>
      </c>
      <c r="M1797" s="2" t="s">
        <v>1337</v>
      </c>
      <c r="N1797" s="2" t="s">
        <v>500</v>
      </c>
      <c r="O1797" s="5"/>
      <c r="P1797" s="4"/>
      <c r="Q1797" s="4"/>
      <c r="R1797" s="4"/>
      <c r="S1797" s="4"/>
      <c r="T1797" s="4"/>
      <c r="U1797" s="4"/>
      <c r="V1797" s="4"/>
      <c r="W1797" s="4"/>
      <c r="X1797" s="4"/>
      <c r="Y1797" s="4"/>
      <c r="Z1797" s="4"/>
      <c r="AA1797" s="4"/>
      <c r="AB1797" s="4"/>
      <c r="AC1797" s="4"/>
      <c r="AD1797" s="4"/>
      <c r="AE1797" s="4"/>
      <c r="AF1797" s="4"/>
      <c r="AG1797" s="4"/>
      <c r="AH1797" s="4"/>
      <c r="AI1797" s="4"/>
      <c r="AJ1797" s="4"/>
      <c r="AK1797" s="4"/>
      <c r="AL1797" s="4"/>
      <c r="AM1797" s="4"/>
      <c r="AN1797" s="4"/>
      <c r="AO1797" s="4"/>
      <c r="AP1797" s="4"/>
      <c r="AQ1797" s="4"/>
      <c r="AR1797" s="4"/>
      <c r="AS1797" s="4"/>
      <c r="AT1797" s="4"/>
      <c r="AU1797" s="4"/>
      <c r="AV1797" s="4"/>
      <c r="AW1797" s="4"/>
      <c r="AX1797" s="4"/>
      <c r="AY1797" s="4"/>
      <c r="AZ1797" s="4"/>
      <c r="BA1797" s="4"/>
      <c r="BB1797" s="4"/>
      <c r="BC1797" s="4"/>
      <c r="BD1797" s="4"/>
      <c r="BE1797" s="4"/>
      <c r="BF1797" s="4"/>
      <c r="BG1797" s="4"/>
      <c r="BH1797" s="4"/>
      <c r="BI1797" s="4"/>
      <c r="BJ1797" s="4"/>
      <c r="BK1797" s="4"/>
      <c r="BL1797" s="4"/>
      <c r="BM1797" s="4"/>
      <c r="BN1797" s="4"/>
      <c r="BO1797" s="4"/>
      <c r="BP1797" s="4"/>
      <c r="BQ1797" s="4"/>
      <c r="BR1797" s="4"/>
      <c r="BS1797" s="4"/>
      <c r="BT1797" s="4"/>
      <c r="BU1797" s="4"/>
      <c r="BV1797" s="4"/>
      <c r="BW1797" s="4"/>
      <c r="BX1797" s="4"/>
      <c r="BY1797" s="4"/>
      <c r="BZ1797" s="4"/>
      <c r="CA1797" s="4"/>
      <c r="CB1797" s="4"/>
      <c r="CC1797" s="4"/>
      <c r="CD1797" s="4"/>
      <c r="CE1797" s="4"/>
      <c r="CF1797" s="4"/>
      <c r="CG1797" s="4"/>
      <c r="CH1797" s="4"/>
      <c r="CI1797" s="4"/>
      <c r="CJ1797" s="4"/>
      <c r="CK1797" s="4"/>
      <c r="CL1797" s="4"/>
      <c r="CM1797" s="4"/>
      <c r="CN1797" s="4"/>
      <c r="CO1797" s="4"/>
      <c r="CP1797" s="4"/>
      <c r="CQ1797" s="4"/>
      <c r="CR1797" s="4"/>
      <c r="CS1797" s="4"/>
      <c r="CT1797" s="4"/>
    </row>
    <row r="1798" spans="1:98" x14ac:dyDescent="0.25">
      <c r="A1798" s="2" t="s">
        <v>15</v>
      </c>
      <c r="B1798" s="2" t="str">
        <f>"FES1162769707"</f>
        <v>FES1162769707</v>
      </c>
      <c r="C1798" s="2" t="s">
        <v>1266</v>
      </c>
      <c r="D1798" s="2">
        <v>1</v>
      </c>
      <c r="E1798" s="2" t="str">
        <f>"2170756847"</f>
        <v>2170756847</v>
      </c>
      <c r="F1798" s="2" t="s">
        <v>17</v>
      </c>
      <c r="G1798" s="2" t="s">
        <v>18</v>
      </c>
      <c r="H1798" s="2" t="s">
        <v>36</v>
      </c>
      <c r="I1798" s="2" t="s">
        <v>37</v>
      </c>
      <c r="J1798" s="2" t="s">
        <v>869</v>
      </c>
      <c r="K1798" s="2" t="s">
        <v>1353</v>
      </c>
      <c r="L1798" s="3">
        <v>0.34166666666666662</v>
      </c>
      <c r="M1798" s="2" t="s">
        <v>1469</v>
      </c>
      <c r="N1798" s="2" t="s">
        <v>500</v>
      </c>
      <c r="O1798" s="5"/>
      <c r="P1798" s="4"/>
      <c r="Q1798" s="4"/>
      <c r="R1798" s="4"/>
      <c r="S1798" s="4"/>
      <c r="T1798" s="4"/>
      <c r="U1798" s="4"/>
      <c r="V1798" s="4"/>
      <c r="W1798" s="4"/>
      <c r="X1798" s="4"/>
      <c r="Y1798" s="4"/>
      <c r="Z1798" s="4"/>
      <c r="AA1798" s="4"/>
      <c r="AB1798" s="4"/>
      <c r="AC1798" s="4"/>
      <c r="AD1798" s="4"/>
      <c r="AE1798" s="4"/>
      <c r="AF1798" s="4"/>
      <c r="AG1798" s="4"/>
      <c r="AH1798" s="4"/>
      <c r="AI1798" s="4"/>
      <c r="AJ1798" s="4"/>
      <c r="AK1798" s="4"/>
      <c r="AL1798" s="4"/>
      <c r="AM1798" s="4"/>
      <c r="AN1798" s="4"/>
      <c r="AO1798" s="4"/>
      <c r="AP1798" s="4"/>
      <c r="AQ1798" s="4"/>
      <c r="AR1798" s="4"/>
      <c r="AS1798" s="4"/>
      <c r="AT1798" s="4"/>
      <c r="AU1798" s="4"/>
      <c r="AV1798" s="4"/>
      <c r="AW1798" s="4"/>
      <c r="AX1798" s="4"/>
      <c r="AY1798" s="4"/>
      <c r="AZ1798" s="4"/>
      <c r="BA1798" s="4"/>
      <c r="BB1798" s="4"/>
      <c r="BC1798" s="4"/>
      <c r="BD1798" s="4"/>
      <c r="BE1798" s="4"/>
      <c r="BF1798" s="4"/>
      <c r="BG1798" s="4"/>
      <c r="BH1798" s="4"/>
      <c r="BI1798" s="4"/>
      <c r="BJ1798" s="4"/>
      <c r="BK1798" s="4"/>
      <c r="BL1798" s="4"/>
      <c r="BM1798" s="4"/>
      <c r="BN1798" s="4"/>
      <c r="BO1798" s="4"/>
      <c r="BP1798" s="4"/>
      <c r="BQ1798" s="4"/>
      <c r="BR1798" s="4"/>
      <c r="BS1798" s="4"/>
      <c r="BT1798" s="4"/>
      <c r="BU1798" s="4"/>
      <c r="BV1798" s="4"/>
      <c r="BW1798" s="4"/>
      <c r="BX1798" s="4"/>
      <c r="BY1798" s="4"/>
      <c r="BZ1798" s="4"/>
      <c r="CA1798" s="4"/>
      <c r="CB1798" s="4"/>
      <c r="CC1798" s="4"/>
      <c r="CD1798" s="4"/>
      <c r="CE1798" s="4"/>
      <c r="CF1798" s="4"/>
      <c r="CG1798" s="4"/>
      <c r="CH1798" s="4"/>
      <c r="CI1798" s="4"/>
      <c r="CJ1798" s="4"/>
      <c r="CK1798" s="4"/>
      <c r="CL1798" s="4"/>
      <c r="CM1798" s="4"/>
      <c r="CN1798" s="4"/>
      <c r="CO1798" s="4"/>
      <c r="CP1798" s="4"/>
      <c r="CQ1798" s="4"/>
      <c r="CR1798" s="4"/>
      <c r="CS1798" s="4"/>
      <c r="CT1798" s="4"/>
    </row>
    <row r="1799" spans="1:98" x14ac:dyDescent="0.25">
      <c r="A1799" s="2" t="s">
        <v>15</v>
      </c>
      <c r="B1799" s="2" t="str">
        <f>"FES1162769850"</f>
        <v>FES1162769850</v>
      </c>
      <c r="C1799" s="2" t="s">
        <v>1266</v>
      </c>
      <c r="D1799" s="2">
        <v>1</v>
      </c>
      <c r="E1799" s="2" t="str">
        <f>"2170757130"</f>
        <v>2170757130</v>
      </c>
      <c r="F1799" s="2" t="s">
        <v>17</v>
      </c>
      <c r="G1799" s="2" t="s">
        <v>18</v>
      </c>
      <c r="H1799" s="2" t="s">
        <v>36</v>
      </c>
      <c r="I1799" s="2" t="s">
        <v>37</v>
      </c>
      <c r="J1799" s="2" t="s">
        <v>55</v>
      </c>
      <c r="K1799" s="2" t="s">
        <v>1353</v>
      </c>
      <c r="L1799" s="3">
        <v>0.36805555555555558</v>
      </c>
      <c r="M1799" s="2" t="s">
        <v>1470</v>
      </c>
      <c r="N1799" s="2" t="s">
        <v>500</v>
      </c>
      <c r="O1799" s="5"/>
      <c r="P1799" s="4"/>
      <c r="Q1799" s="4"/>
      <c r="R1799" s="4"/>
      <c r="S1799" s="4"/>
      <c r="T1799" s="4"/>
      <c r="U1799" s="4"/>
      <c r="V1799" s="4"/>
      <c r="W1799" s="4"/>
      <c r="X1799" s="4"/>
      <c r="Y1799" s="4"/>
      <c r="Z1799" s="4"/>
      <c r="AA1799" s="4"/>
      <c r="AB1799" s="4"/>
      <c r="AC1799" s="4"/>
      <c r="AD1799" s="4"/>
      <c r="AE1799" s="4"/>
      <c r="AF1799" s="4"/>
      <c r="AG1799" s="4"/>
      <c r="AH1799" s="4"/>
      <c r="AI1799" s="4"/>
      <c r="AJ1799" s="4"/>
      <c r="AK1799" s="4"/>
      <c r="AL1799" s="4"/>
      <c r="AM1799" s="4"/>
      <c r="AN1799" s="4"/>
      <c r="AO1799" s="4"/>
      <c r="AP1799" s="4"/>
      <c r="AQ1799" s="4"/>
      <c r="AR1799" s="4"/>
      <c r="AS1799" s="4"/>
      <c r="AT1799" s="4"/>
      <c r="AU1799" s="4"/>
      <c r="AV1799" s="4"/>
      <c r="AW1799" s="4"/>
      <c r="AX1799" s="4"/>
      <c r="AY1799" s="4"/>
      <c r="AZ1799" s="4"/>
      <c r="BA1799" s="4"/>
      <c r="BB1799" s="4"/>
      <c r="BC1799" s="4"/>
      <c r="BD1799" s="4"/>
      <c r="BE1799" s="4"/>
      <c r="BF1799" s="4"/>
      <c r="BG1799" s="4"/>
      <c r="BH1799" s="4"/>
      <c r="BI1799" s="4"/>
      <c r="BJ1799" s="4"/>
      <c r="BK1799" s="4"/>
      <c r="BL1799" s="4"/>
      <c r="BM1799" s="4"/>
      <c r="BN1799" s="4"/>
      <c r="BO1799" s="4"/>
      <c r="BP1799" s="4"/>
      <c r="BQ1799" s="4"/>
      <c r="BR1799" s="4"/>
      <c r="BS1799" s="4"/>
      <c r="BT1799" s="4"/>
      <c r="BU1799" s="4"/>
      <c r="BV1799" s="4"/>
      <c r="BW1799" s="4"/>
      <c r="BX1799" s="4"/>
      <c r="BY1799" s="4"/>
      <c r="BZ1799" s="4"/>
      <c r="CA1799" s="4"/>
      <c r="CB1799" s="4"/>
      <c r="CC1799" s="4"/>
      <c r="CD1799" s="4"/>
      <c r="CE1799" s="4"/>
      <c r="CF1799" s="4"/>
      <c r="CG1799" s="4"/>
      <c r="CH1799" s="4"/>
      <c r="CI1799" s="4"/>
      <c r="CJ1799" s="4"/>
      <c r="CK1799" s="4"/>
      <c r="CL1799" s="4"/>
      <c r="CM1799" s="4"/>
      <c r="CN1799" s="4"/>
      <c r="CO1799" s="4"/>
      <c r="CP1799" s="4"/>
      <c r="CQ1799" s="4"/>
      <c r="CR1799" s="4"/>
      <c r="CS1799" s="4"/>
      <c r="CT1799" s="4"/>
    </row>
    <row r="1800" spans="1:98" x14ac:dyDescent="0.25">
      <c r="A1800" s="2" t="s">
        <v>15</v>
      </c>
      <c r="B1800" s="2" t="str">
        <f>"FES1162769982"</f>
        <v>FES1162769982</v>
      </c>
      <c r="C1800" s="2" t="s">
        <v>1266</v>
      </c>
      <c r="D1800" s="2">
        <v>1</v>
      </c>
      <c r="E1800" s="2" t="str">
        <f>"2170756007"</f>
        <v>2170756007</v>
      </c>
      <c r="F1800" s="2" t="s">
        <v>17</v>
      </c>
      <c r="G1800" s="2" t="s">
        <v>18</v>
      </c>
      <c r="H1800" s="2" t="s">
        <v>88</v>
      </c>
      <c r="I1800" s="2" t="s">
        <v>109</v>
      </c>
      <c r="J1800" s="2" t="s">
        <v>638</v>
      </c>
      <c r="K1800" s="2" t="s">
        <v>1353</v>
      </c>
      <c r="L1800" s="3">
        <v>0.43402777777777773</v>
      </c>
      <c r="M1800" s="2" t="s">
        <v>957</v>
      </c>
      <c r="N1800" s="2" t="s">
        <v>500</v>
      </c>
      <c r="O1800" s="5"/>
      <c r="P1800" s="4"/>
      <c r="Q1800" s="4"/>
      <c r="R1800" s="4"/>
      <c r="S1800" s="4"/>
      <c r="T1800" s="4"/>
      <c r="U1800" s="4"/>
      <c r="V1800" s="4"/>
      <c r="W1800" s="4"/>
      <c r="X1800" s="4"/>
      <c r="Y1800" s="4"/>
      <c r="Z1800" s="4"/>
      <c r="AA1800" s="4"/>
      <c r="AB1800" s="4"/>
      <c r="AC1800" s="4"/>
      <c r="AD1800" s="4"/>
      <c r="AE1800" s="4"/>
      <c r="AF1800" s="4"/>
      <c r="AG1800" s="4"/>
      <c r="AH1800" s="4"/>
      <c r="AI1800" s="4"/>
      <c r="AJ1800" s="4"/>
      <c r="AK1800" s="4"/>
      <c r="AL1800" s="4"/>
      <c r="AM1800" s="4"/>
      <c r="AN1800" s="4"/>
      <c r="AO1800" s="4"/>
      <c r="AP1800" s="4"/>
      <c r="AQ1800" s="4"/>
      <c r="AR1800" s="4"/>
      <c r="AS1800" s="4"/>
      <c r="AT1800" s="4"/>
      <c r="AU1800" s="4"/>
      <c r="AV1800" s="4"/>
      <c r="AW1800" s="4"/>
      <c r="AX1800" s="4"/>
      <c r="AY1800" s="4"/>
      <c r="AZ1800" s="4"/>
      <c r="BA1800" s="4"/>
      <c r="BB1800" s="4"/>
      <c r="BC1800" s="4"/>
      <c r="BD1800" s="4"/>
      <c r="BE1800" s="4"/>
      <c r="BF1800" s="4"/>
      <c r="BG1800" s="4"/>
      <c r="BH1800" s="4"/>
      <c r="BI1800" s="4"/>
      <c r="BJ1800" s="4"/>
      <c r="BK1800" s="4"/>
      <c r="BL1800" s="4"/>
      <c r="BM1800" s="4"/>
      <c r="BN1800" s="4"/>
      <c r="BO1800" s="4"/>
      <c r="BP1800" s="4"/>
      <c r="BQ1800" s="4"/>
      <c r="BR1800" s="4"/>
      <c r="BS1800" s="4"/>
      <c r="BT1800" s="4"/>
      <c r="BU1800" s="4"/>
      <c r="BV1800" s="4"/>
      <c r="BW1800" s="4"/>
      <c r="BX1800" s="4"/>
      <c r="BY1800" s="4"/>
      <c r="BZ1800" s="4"/>
      <c r="CA1800" s="4"/>
      <c r="CB1800" s="4"/>
      <c r="CC1800" s="4"/>
      <c r="CD1800" s="4"/>
      <c r="CE1800" s="4"/>
      <c r="CF1800" s="4"/>
      <c r="CG1800" s="4"/>
      <c r="CH1800" s="4"/>
      <c r="CI1800" s="4"/>
      <c r="CJ1800" s="4"/>
      <c r="CK1800" s="4"/>
      <c r="CL1800" s="4"/>
      <c r="CM1800" s="4"/>
      <c r="CN1800" s="4"/>
      <c r="CO1800" s="4"/>
      <c r="CP1800" s="4"/>
      <c r="CQ1800" s="4"/>
      <c r="CR1800" s="4"/>
      <c r="CS1800" s="4"/>
      <c r="CT1800" s="4"/>
    </row>
    <row r="1801" spans="1:98" x14ac:dyDescent="0.25">
      <c r="A1801" s="2" t="s">
        <v>15</v>
      </c>
      <c r="B1801" s="2" t="str">
        <f>"FES1162769765"</f>
        <v>FES1162769765</v>
      </c>
      <c r="C1801" s="2" t="s">
        <v>1266</v>
      </c>
      <c r="D1801" s="2">
        <v>1</v>
      </c>
      <c r="E1801" s="2" t="str">
        <f>"2170756985"</f>
        <v>2170756985</v>
      </c>
      <c r="F1801" s="2" t="s">
        <v>17</v>
      </c>
      <c r="G1801" s="2" t="s">
        <v>18</v>
      </c>
      <c r="H1801" s="2" t="s">
        <v>88</v>
      </c>
      <c r="I1801" s="2" t="s">
        <v>109</v>
      </c>
      <c r="J1801" s="2" t="s">
        <v>880</v>
      </c>
      <c r="K1801" s="2" t="s">
        <v>1353</v>
      </c>
      <c r="L1801" s="3">
        <v>0.54722222222222217</v>
      </c>
      <c r="M1801" s="2" t="s">
        <v>1471</v>
      </c>
      <c r="N1801" s="2" t="s">
        <v>500</v>
      </c>
      <c r="O1801" s="5"/>
      <c r="P1801" s="4"/>
      <c r="Q1801" s="4"/>
      <c r="R1801" s="4"/>
      <c r="S1801" s="4"/>
      <c r="T1801" s="4"/>
      <c r="U1801" s="4"/>
      <c r="V1801" s="4"/>
      <c r="W1801" s="4"/>
      <c r="X1801" s="4"/>
      <c r="Y1801" s="4"/>
      <c r="Z1801" s="4"/>
      <c r="AA1801" s="4"/>
      <c r="AB1801" s="4"/>
      <c r="AC1801" s="4"/>
      <c r="AD1801" s="4"/>
      <c r="AE1801" s="4"/>
      <c r="AF1801" s="4"/>
      <c r="AG1801" s="4"/>
      <c r="AH1801" s="4"/>
      <c r="AI1801" s="4"/>
      <c r="AJ1801" s="4"/>
      <c r="AK1801" s="4"/>
      <c r="AL1801" s="4"/>
      <c r="AM1801" s="4"/>
      <c r="AN1801" s="4"/>
      <c r="AO1801" s="4"/>
      <c r="AP1801" s="4"/>
      <c r="AQ1801" s="4"/>
      <c r="AR1801" s="4"/>
      <c r="AS1801" s="4"/>
      <c r="AT1801" s="4"/>
      <c r="AU1801" s="4"/>
      <c r="AV1801" s="4"/>
      <c r="AW1801" s="4"/>
      <c r="AX1801" s="4"/>
      <c r="AY1801" s="4"/>
      <c r="AZ1801" s="4"/>
      <c r="BA1801" s="4"/>
      <c r="BB1801" s="4"/>
      <c r="BC1801" s="4"/>
      <c r="BD1801" s="4"/>
      <c r="BE1801" s="4"/>
      <c r="BF1801" s="4"/>
      <c r="BG1801" s="4"/>
      <c r="BH1801" s="4"/>
      <c r="BI1801" s="4"/>
      <c r="BJ1801" s="4"/>
      <c r="BK1801" s="4"/>
      <c r="BL1801" s="4"/>
      <c r="BM1801" s="4"/>
      <c r="BN1801" s="4"/>
      <c r="BO1801" s="4"/>
      <c r="BP1801" s="4"/>
      <c r="BQ1801" s="4"/>
      <c r="BR1801" s="4"/>
      <c r="BS1801" s="4"/>
      <c r="BT1801" s="4"/>
      <c r="BU1801" s="4"/>
      <c r="BV1801" s="4"/>
      <c r="BW1801" s="4"/>
      <c r="BX1801" s="4"/>
      <c r="BY1801" s="4"/>
      <c r="BZ1801" s="4"/>
      <c r="CA1801" s="4"/>
      <c r="CB1801" s="4"/>
      <c r="CC1801" s="4"/>
      <c r="CD1801" s="4"/>
      <c r="CE1801" s="4"/>
      <c r="CF1801" s="4"/>
      <c r="CG1801" s="4"/>
      <c r="CH1801" s="4"/>
      <c r="CI1801" s="4"/>
      <c r="CJ1801" s="4"/>
      <c r="CK1801" s="4"/>
      <c r="CL1801" s="4"/>
      <c r="CM1801" s="4"/>
      <c r="CN1801" s="4"/>
      <c r="CO1801" s="4"/>
      <c r="CP1801" s="4"/>
      <c r="CQ1801" s="4"/>
      <c r="CR1801" s="4"/>
      <c r="CS1801" s="4"/>
      <c r="CT1801" s="4"/>
    </row>
    <row r="1802" spans="1:98" x14ac:dyDescent="0.25">
      <c r="A1802" s="2" t="s">
        <v>15</v>
      </c>
      <c r="B1802" s="2" t="str">
        <f>"FES1162769642"</f>
        <v>FES1162769642</v>
      </c>
      <c r="C1802" s="2" t="s">
        <v>1266</v>
      </c>
      <c r="D1802" s="2">
        <v>1</v>
      </c>
      <c r="E1802" s="2" t="str">
        <f>"2170756728"</f>
        <v>2170756728</v>
      </c>
      <c r="F1802" s="2" t="s">
        <v>17</v>
      </c>
      <c r="G1802" s="2" t="s">
        <v>18</v>
      </c>
      <c r="H1802" s="2" t="s">
        <v>36</v>
      </c>
      <c r="I1802" s="2" t="s">
        <v>37</v>
      </c>
      <c r="J1802" s="2" t="s">
        <v>476</v>
      </c>
      <c r="K1802" s="2" t="s">
        <v>1353</v>
      </c>
      <c r="L1802" s="3">
        <v>0.36458333333333331</v>
      </c>
      <c r="M1802" s="2" t="s">
        <v>1472</v>
      </c>
      <c r="N1802" s="2" t="s">
        <v>500</v>
      </c>
      <c r="O1802" s="5"/>
      <c r="P1802" s="4"/>
      <c r="Q1802" s="4"/>
      <c r="R1802" s="4"/>
      <c r="S1802" s="4"/>
      <c r="T1802" s="4"/>
      <c r="U1802" s="4"/>
      <c r="V1802" s="4"/>
      <c r="W1802" s="4"/>
      <c r="X1802" s="4"/>
      <c r="Y1802" s="4"/>
      <c r="Z1802" s="4"/>
      <c r="AA1802" s="4"/>
      <c r="AB1802" s="4"/>
      <c r="AC1802" s="4"/>
      <c r="AD1802" s="4"/>
      <c r="AE1802" s="4"/>
      <c r="AF1802" s="4"/>
      <c r="AG1802" s="4"/>
      <c r="AH1802" s="4"/>
      <c r="AI1802" s="4"/>
      <c r="AJ1802" s="4"/>
      <c r="AK1802" s="4"/>
      <c r="AL1802" s="4"/>
      <c r="AM1802" s="4"/>
      <c r="AN1802" s="4"/>
      <c r="AO1802" s="4"/>
      <c r="AP1802" s="4"/>
      <c r="AQ1802" s="4"/>
      <c r="AR1802" s="4"/>
      <c r="AS1802" s="4"/>
      <c r="AT1802" s="4"/>
      <c r="AU1802" s="4"/>
      <c r="AV1802" s="4"/>
      <c r="AW1802" s="4"/>
      <c r="AX1802" s="4"/>
      <c r="AY1802" s="4"/>
      <c r="AZ1802" s="4"/>
      <c r="BA1802" s="4"/>
      <c r="BB1802" s="4"/>
      <c r="BC1802" s="4"/>
      <c r="BD1802" s="4"/>
      <c r="BE1802" s="4"/>
      <c r="BF1802" s="4"/>
      <c r="BG1802" s="4"/>
      <c r="BH1802" s="4"/>
      <c r="BI1802" s="4"/>
      <c r="BJ1802" s="4"/>
      <c r="BK1802" s="4"/>
      <c r="BL1802" s="4"/>
      <c r="BM1802" s="4"/>
      <c r="BN1802" s="4"/>
      <c r="BO1802" s="4"/>
      <c r="BP1802" s="4"/>
      <c r="BQ1802" s="4"/>
      <c r="BR1802" s="4"/>
      <c r="BS1802" s="4"/>
      <c r="BT1802" s="4"/>
      <c r="BU1802" s="4"/>
      <c r="BV1802" s="4"/>
      <c r="BW1802" s="4"/>
      <c r="BX1802" s="4"/>
      <c r="BY1802" s="4"/>
      <c r="BZ1802" s="4"/>
      <c r="CA1802" s="4"/>
      <c r="CB1802" s="4"/>
      <c r="CC1802" s="4"/>
      <c r="CD1802" s="4"/>
      <c r="CE1802" s="4"/>
      <c r="CF1802" s="4"/>
      <c r="CG1802" s="4"/>
      <c r="CH1802" s="4"/>
      <c r="CI1802" s="4"/>
      <c r="CJ1802" s="4"/>
      <c r="CK1802" s="4"/>
      <c r="CL1802" s="4"/>
      <c r="CM1802" s="4"/>
      <c r="CN1802" s="4"/>
      <c r="CO1802" s="4"/>
      <c r="CP1802" s="4"/>
      <c r="CQ1802" s="4"/>
      <c r="CR1802" s="4"/>
      <c r="CS1802" s="4"/>
      <c r="CT1802" s="4"/>
    </row>
    <row r="1803" spans="1:98" x14ac:dyDescent="0.25">
      <c r="A1803" s="2" t="s">
        <v>15</v>
      </c>
      <c r="B1803" s="2" t="str">
        <f>"FES1162769986"</f>
        <v>FES1162769986</v>
      </c>
      <c r="C1803" s="2" t="s">
        <v>1266</v>
      </c>
      <c r="D1803" s="2">
        <v>1</v>
      </c>
      <c r="E1803" s="2" t="str">
        <f>"2170756166"</f>
        <v>2170756166</v>
      </c>
      <c r="F1803" s="2" t="s">
        <v>17</v>
      </c>
      <c r="G1803" s="2" t="s">
        <v>18</v>
      </c>
      <c r="H1803" s="2" t="s">
        <v>18</v>
      </c>
      <c r="I1803" s="2" t="s">
        <v>46</v>
      </c>
      <c r="J1803" s="2" t="s">
        <v>59</v>
      </c>
      <c r="K1803" s="2" t="s">
        <v>1353</v>
      </c>
      <c r="L1803" s="3">
        <v>0.4375</v>
      </c>
      <c r="M1803" s="2" t="s">
        <v>559</v>
      </c>
      <c r="N1803" s="2" t="s">
        <v>500</v>
      </c>
      <c r="O1803" s="5"/>
      <c r="P1803" s="4"/>
      <c r="Q1803" s="4"/>
      <c r="R1803" s="4"/>
      <c r="S1803" s="4"/>
      <c r="T1803" s="4"/>
      <c r="U1803" s="4"/>
      <c r="V1803" s="4"/>
      <c r="W1803" s="4"/>
      <c r="X1803" s="4"/>
      <c r="Y1803" s="4"/>
      <c r="Z1803" s="4"/>
      <c r="AA1803" s="4"/>
      <c r="AB1803" s="4"/>
      <c r="AC1803" s="4"/>
      <c r="AD1803" s="4"/>
      <c r="AE1803" s="4"/>
      <c r="AF1803" s="4"/>
      <c r="AG1803" s="4"/>
      <c r="AH1803" s="4"/>
      <c r="AI1803" s="4"/>
      <c r="AJ1803" s="4"/>
      <c r="AK1803" s="4"/>
      <c r="AL1803" s="4"/>
      <c r="AM1803" s="4"/>
      <c r="AN1803" s="4"/>
      <c r="AO1803" s="4"/>
      <c r="AP1803" s="4"/>
      <c r="AQ1803" s="4"/>
      <c r="AR1803" s="4"/>
      <c r="AS1803" s="4"/>
      <c r="AT1803" s="4"/>
      <c r="AU1803" s="4"/>
      <c r="AV1803" s="4"/>
      <c r="AW1803" s="4"/>
      <c r="AX1803" s="4"/>
      <c r="AY1803" s="4"/>
      <c r="AZ1803" s="4"/>
      <c r="BA1803" s="4"/>
      <c r="BB1803" s="4"/>
      <c r="BC1803" s="4"/>
      <c r="BD1803" s="4"/>
      <c r="BE1803" s="4"/>
      <c r="BF1803" s="4"/>
      <c r="BG1803" s="4"/>
      <c r="BH1803" s="4"/>
      <c r="BI1803" s="4"/>
      <c r="BJ1803" s="4"/>
      <c r="BK1803" s="4"/>
      <c r="BL1803" s="4"/>
      <c r="BM1803" s="4"/>
      <c r="BN1803" s="4"/>
      <c r="BO1803" s="4"/>
      <c r="BP1803" s="4"/>
      <c r="BQ1803" s="4"/>
      <c r="BR1803" s="4"/>
      <c r="BS1803" s="4"/>
      <c r="BT1803" s="4"/>
      <c r="BU1803" s="4"/>
      <c r="BV1803" s="4"/>
      <c r="BW1803" s="4"/>
      <c r="BX1803" s="4"/>
      <c r="BY1803" s="4"/>
      <c r="BZ1803" s="4"/>
      <c r="CA1803" s="4"/>
      <c r="CB1803" s="4"/>
      <c r="CC1803" s="4"/>
      <c r="CD1803" s="4"/>
      <c r="CE1803" s="4"/>
      <c r="CF1803" s="4"/>
      <c r="CG1803" s="4"/>
      <c r="CH1803" s="4"/>
      <c r="CI1803" s="4"/>
      <c r="CJ1803" s="4"/>
      <c r="CK1803" s="4"/>
      <c r="CL1803" s="4"/>
      <c r="CM1803" s="4"/>
      <c r="CN1803" s="4"/>
      <c r="CO1803" s="4"/>
      <c r="CP1803" s="4"/>
      <c r="CQ1803" s="4"/>
      <c r="CR1803" s="4"/>
      <c r="CS1803" s="4"/>
      <c r="CT1803" s="4"/>
    </row>
    <row r="1804" spans="1:98" x14ac:dyDescent="0.25">
      <c r="A1804" s="2" t="s">
        <v>15</v>
      </c>
      <c r="B1804" s="2" t="str">
        <f>"FES1162769984"</f>
        <v>FES1162769984</v>
      </c>
      <c r="C1804" s="2" t="s">
        <v>1266</v>
      </c>
      <c r="D1804" s="2">
        <v>1</v>
      </c>
      <c r="E1804" s="2" t="str">
        <f>"2170756094"</f>
        <v>2170756094</v>
      </c>
      <c r="F1804" s="2" t="s">
        <v>17</v>
      </c>
      <c r="G1804" s="2" t="s">
        <v>18</v>
      </c>
      <c r="H1804" s="2" t="s">
        <v>25</v>
      </c>
      <c r="I1804" s="2" t="s">
        <v>42</v>
      </c>
      <c r="J1804" s="2" t="s">
        <v>416</v>
      </c>
      <c r="K1804" s="2" t="s">
        <v>1353</v>
      </c>
      <c r="L1804" s="3">
        <v>0.62847222222222221</v>
      </c>
      <c r="M1804" s="2" t="s">
        <v>688</v>
      </c>
      <c r="N1804" s="2" t="s">
        <v>500</v>
      </c>
      <c r="O1804" s="5"/>
      <c r="P1804" s="4"/>
      <c r="Q1804" s="4"/>
      <c r="R1804" s="4"/>
      <c r="S1804" s="4"/>
      <c r="T1804" s="4"/>
      <c r="U1804" s="4"/>
      <c r="V1804" s="4"/>
      <c r="W1804" s="4"/>
      <c r="X1804" s="4"/>
      <c r="Y1804" s="4"/>
      <c r="Z1804" s="4"/>
      <c r="AA1804" s="4"/>
      <c r="AB1804" s="4"/>
      <c r="AC1804" s="4"/>
      <c r="AD1804" s="4"/>
      <c r="AE1804" s="4"/>
      <c r="AF1804" s="4"/>
      <c r="AG1804" s="4"/>
      <c r="AH1804" s="4"/>
      <c r="AI1804" s="4"/>
      <c r="AJ1804" s="4"/>
      <c r="AK1804" s="4"/>
      <c r="AL1804" s="4"/>
      <c r="AM1804" s="4"/>
      <c r="AN1804" s="4"/>
      <c r="AO1804" s="4"/>
      <c r="AP1804" s="4"/>
      <c r="AQ1804" s="4"/>
      <c r="AR1804" s="4"/>
      <c r="AS1804" s="4"/>
      <c r="AT1804" s="4"/>
      <c r="AU1804" s="4"/>
      <c r="AV1804" s="4"/>
      <c r="AW1804" s="4"/>
      <c r="AX1804" s="4"/>
      <c r="AY1804" s="4"/>
      <c r="AZ1804" s="4"/>
      <c r="BA1804" s="4"/>
      <c r="BB1804" s="4"/>
      <c r="BC1804" s="4"/>
      <c r="BD1804" s="4"/>
      <c r="BE1804" s="4"/>
      <c r="BF1804" s="4"/>
      <c r="BG1804" s="4"/>
      <c r="BH1804" s="4"/>
      <c r="BI1804" s="4"/>
      <c r="BJ1804" s="4"/>
      <c r="BK1804" s="4"/>
      <c r="BL1804" s="4"/>
      <c r="BM1804" s="4"/>
      <c r="BN1804" s="4"/>
      <c r="BO1804" s="4"/>
      <c r="BP1804" s="4"/>
      <c r="BQ1804" s="4"/>
      <c r="BR1804" s="4"/>
      <c r="BS1804" s="4"/>
      <c r="BT1804" s="4"/>
      <c r="BU1804" s="4"/>
      <c r="BV1804" s="4"/>
      <c r="BW1804" s="4"/>
      <c r="BX1804" s="4"/>
      <c r="BY1804" s="4"/>
      <c r="BZ1804" s="4"/>
      <c r="CA1804" s="4"/>
      <c r="CB1804" s="4"/>
      <c r="CC1804" s="4"/>
      <c r="CD1804" s="4"/>
      <c r="CE1804" s="4"/>
      <c r="CF1804" s="4"/>
      <c r="CG1804" s="4"/>
      <c r="CH1804" s="4"/>
      <c r="CI1804" s="4"/>
      <c r="CJ1804" s="4"/>
      <c r="CK1804" s="4"/>
      <c r="CL1804" s="4"/>
      <c r="CM1804" s="4"/>
      <c r="CN1804" s="4"/>
      <c r="CO1804" s="4"/>
      <c r="CP1804" s="4"/>
      <c r="CQ1804" s="4"/>
      <c r="CR1804" s="4"/>
      <c r="CS1804" s="4"/>
      <c r="CT1804" s="4"/>
    </row>
    <row r="1805" spans="1:98" x14ac:dyDescent="0.25">
      <c r="A1805" s="2" t="s">
        <v>15</v>
      </c>
      <c r="B1805" s="2" t="str">
        <f>"FES1162769600"</f>
        <v>FES1162769600</v>
      </c>
      <c r="C1805" s="2" t="s">
        <v>1266</v>
      </c>
      <c r="D1805" s="2">
        <v>1</v>
      </c>
      <c r="E1805" s="2" t="str">
        <f>"2170756658"</f>
        <v>2170756658</v>
      </c>
      <c r="F1805" s="2" t="s">
        <v>17</v>
      </c>
      <c r="G1805" s="2" t="s">
        <v>18</v>
      </c>
      <c r="H1805" s="2" t="s">
        <v>25</v>
      </c>
      <c r="I1805" s="2" t="s">
        <v>26</v>
      </c>
      <c r="J1805" s="2" t="s">
        <v>100</v>
      </c>
      <c r="K1805" s="2" t="s">
        <v>1353</v>
      </c>
      <c r="L1805" s="3">
        <v>0.33333333333333331</v>
      </c>
      <c r="M1805" s="2" t="s">
        <v>1473</v>
      </c>
      <c r="N1805" s="2" t="s">
        <v>500</v>
      </c>
      <c r="O1805" s="5"/>
      <c r="P1805" s="4"/>
      <c r="Q1805" s="4"/>
      <c r="R1805" s="4"/>
      <c r="S1805" s="4"/>
      <c r="T1805" s="4"/>
      <c r="U1805" s="4"/>
      <c r="V1805" s="4"/>
      <c r="W1805" s="4"/>
      <c r="X1805" s="4"/>
      <c r="Y1805" s="4"/>
      <c r="Z1805" s="4"/>
      <c r="AA1805" s="4"/>
      <c r="AB1805" s="4"/>
      <c r="AC1805" s="4"/>
      <c r="AD1805" s="4"/>
      <c r="AE1805" s="4"/>
      <c r="AF1805" s="4"/>
      <c r="AG1805" s="4"/>
      <c r="AH1805" s="4"/>
      <c r="AI1805" s="4"/>
      <c r="AJ1805" s="4"/>
      <c r="AK1805" s="4"/>
      <c r="AL1805" s="4"/>
      <c r="AM1805" s="4"/>
      <c r="AN1805" s="4"/>
      <c r="AO1805" s="4"/>
      <c r="AP1805" s="4"/>
      <c r="AQ1805" s="4"/>
      <c r="AR1805" s="4"/>
      <c r="AS1805" s="4"/>
      <c r="AT1805" s="4"/>
      <c r="AU1805" s="4"/>
      <c r="AV1805" s="4"/>
      <c r="AW1805" s="4"/>
      <c r="AX1805" s="4"/>
      <c r="AY1805" s="4"/>
      <c r="AZ1805" s="4"/>
      <c r="BA1805" s="4"/>
      <c r="BB1805" s="4"/>
      <c r="BC1805" s="4"/>
      <c r="BD1805" s="4"/>
      <c r="BE1805" s="4"/>
      <c r="BF1805" s="4"/>
      <c r="BG1805" s="4"/>
      <c r="BH1805" s="4"/>
      <c r="BI1805" s="4"/>
      <c r="BJ1805" s="4"/>
      <c r="BK1805" s="4"/>
      <c r="BL1805" s="4"/>
      <c r="BM1805" s="4"/>
      <c r="BN1805" s="4"/>
      <c r="BO1805" s="4"/>
      <c r="BP1805" s="4"/>
      <c r="BQ1805" s="4"/>
      <c r="BR1805" s="4"/>
      <c r="BS1805" s="4"/>
      <c r="BT1805" s="4"/>
      <c r="BU1805" s="4"/>
      <c r="BV1805" s="4"/>
      <c r="BW1805" s="4"/>
      <c r="BX1805" s="4"/>
      <c r="BY1805" s="4"/>
      <c r="BZ1805" s="4"/>
      <c r="CA1805" s="4"/>
      <c r="CB1805" s="4"/>
      <c r="CC1805" s="4"/>
      <c r="CD1805" s="4"/>
      <c r="CE1805" s="4"/>
      <c r="CF1805" s="4"/>
      <c r="CG1805" s="4"/>
      <c r="CH1805" s="4"/>
      <c r="CI1805" s="4"/>
      <c r="CJ1805" s="4"/>
      <c r="CK1805" s="4"/>
      <c r="CL1805" s="4"/>
      <c r="CM1805" s="4"/>
      <c r="CN1805" s="4"/>
      <c r="CO1805" s="4"/>
      <c r="CP1805" s="4"/>
      <c r="CQ1805" s="4"/>
      <c r="CR1805" s="4"/>
      <c r="CS1805" s="4"/>
      <c r="CT1805" s="4"/>
    </row>
    <row r="1806" spans="1:98" x14ac:dyDescent="0.25">
      <c r="A1806" s="2" t="s">
        <v>15</v>
      </c>
      <c r="B1806" s="2" t="str">
        <f>"FES1162769962"</f>
        <v>FES1162769962</v>
      </c>
      <c r="C1806" s="2" t="s">
        <v>1266</v>
      </c>
      <c r="D1806" s="2">
        <v>1</v>
      </c>
      <c r="E1806" s="2" t="str">
        <f>"2170755608"</f>
        <v>2170755608</v>
      </c>
      <c r="F1806" s="2" t="s">
        <v>17</v>
      </c>
      <c r="G1806" s="2" t="s">
        <v>18</v>
      </c>
      <c r="H1806" s="2" t="s">
        <v>25</v>
      </c>
      <c r="I1806" s="2" t="s">
        <v>26</v>
      </c>
      <c r="J1806" s="2" t="s">
        <v>75</v>
      </c>
      <c r="K1806" s="2" t="s">
        <v>1353</v>
      </c>
      <c r="L1806" s="3">
        <v>0.39097222222222222</v>
      </c>
      <c r="M1806" s="2" t="s">
        <v>518</v>
      </c>
      <c r="N1806" s="2" t="s">
        <v>500</v>
      </c>
      <c r="O1806" s="5"/>
      <c r="P1806" s="4"/>
      <c r="Q1806" s="4"/>
      <c r="R1806" s="4"/>
      <c r="S1806" s="4"/>
      <c r="T1806" s="4"/>
      <c r="U1806" s="4"/>
      <c r="V1806" s="4"/>
      <c r="W1806" s="4"/>
      <c r="X1806" s="4"/>
      <c r="Y1806" s="4"/>
      <c r="Z1806" s="4"/>
      <c r="AA1806" s="4"/>
      <c r="AB1806" s="4"/>
      <c r="AC1806" s="4"/>
      <c r="AD1806" s="4"/>
      <c r="AE1806" s="4"/>
      <c r="AF1806" s="4"/>
      <c r="AG1806" s="4"/>
      <c r="AH1806" s="4"/>
      <c r="AI1806" s="4"/>
      <c r="AJ1806" s="4"/>
      <c r="AK1806" s="4"/>
      <c r="AL1806" s="4"/>
      <c r="AM1806" s="4"/>
      <c r="AN1806" s="4"/>
      <c r="AO1806" s="4"/>
      <c r="AP1806" s="4"/>
      <c r="AQ1806" s="4"/>
      <c r="AR1806" s="4"/>
      <c r="AS1806" s="4"/>
      <c r="AT1806" s="4"/>
      <c r="AU1806" s="4"/>
      <c r="AV1806" s="4"/>
      <c r="AW1806" s="4"/>
      <c r="AX1806" s="4"/>
      <c r="AY1806" s="4"/>
      <c r="AZ1806" s="4"/>
      <c r="BA1806" s="4"/>
      <c r="BB1806" s="4"/>
      <c r="BC1806" s="4"/>
      <c r="BD1806" s="4"/>
      <c r="BE1806" s="4"/>
      <c r="BF1806" s="4"/>
      <c r="BG1806" s="4"/>
      <c r="BH1806" s="4"/>
      <c r="BI1806" s="4"/>
      <c r="BJ1806" s="4"/>
      <c r="BK1806" s="4"/>
      <c r="BL1806" s="4"/>
      <c r="BM1806" s="4"/>
      <c r="BN1806" s="4"/>
      <c r="BO1806" s="4"/>
      <c r="BP1806" s="4"/>
      <c r="BQ1806" s="4"/>
      <c r="BR1806" s="4"/>
      <c r="BS1806" s="4"/>
      <c r="BT1806" s="4"/>
      <c r="BU1806" s="4"/>
      <c r="BV1806" s="4"/>
      <c r="BW1806" s="4"/>
      <c r="BX1806" s="4"/>
      <c r="BY1806" s="4"/>
      <c r="BZ1806" s="4"/>
      <c r="CA1806" s="4"/>
      <c r="CB1806" s="4"/>
      <c r="CC1806" s="4"/>
      <c r="CD1806" s="4"/>
      <c r="CE1806" s="4"/>
      <c r="CF1806" s="4"/>
      <c r="CG1806" s="4"/>
      <c r="CH1806" s="4"/>
      <c r="CI1806" s="4"/>
      <c r="CJ1806" s="4"/>
      <c r="CK1806" s="4"/>
      <c r="CL1806" s="4"/>
      <c r="CM1806" s="4"/>
      <c r="CN1806" s="4"/>
      <c r="CO1806" s="4"/>
      <c r="CP1806" s="4"/>
      <c r="CQ1806" s="4"/>
      <c r="CR1806" s="4"/>
      <c r="CS1806" s="4"/>
      <c r="CT1806" s="4"/>
    </row>
    <row r="1807" spans="1:98" x14ac:dyDescent="0.25">
      <c r="A1807" s="2" t="s">
        <v>15</v>
      </c>
      <c r="B1807" s="2" t="str">
        <f>"FES1162769736"</f>
        <v>FES1162769736</v>
      </c>
      <c r="C1807" s="2" t="s">
        <v>1266</v>
      </c>
      <c r="D1807" s="2">
        <v>1</v>
      </c>
      <c r="E1807" s="2" t="str">
        <f>"2170756914"</f>
        <v>2170756914</v>
      </c>
      <c r="F1807" s="2" t="s">
        <v>17</v>
      </c>
      <c r="G1807" s="2" t="s">
        <v>18</v>
      </c>
      <c r="H1807" s="2" t="s">
        <v>18</v>
      </c>
      <c r="I1807" s="2" t="s">
        <v>116</v>
      </c>
      <c r="J1807" s="2" t="s">
        <v>169</v>
      </c>
      <c r="K1807" s="2" t="s">
        <v>1353</v>
      </c>
      <c r="L1807" s="3">
        <v>0.36249999999999999</v>
      </c>
      <c r="M1807" s="2" t="s">
        <v>172</v>
      </c>
      <c r="N1807" s="2" t="s">
        <v>500</v>
      </c>
      <c r="O1807" s="5"/>
      <c r="P1807" s="4"/>
      <c r="Q1807" s="4"/>
      <c r="R1807" s="4"/>
      <c r="S1807" s="4"/>
      <c r="T1807" s="4"/>
      <c r="U1807" s="4"/>
      <c r="V1807" s="4"/>
      <c r="W1807" s="4"/>
      <c r="X1807" s="4"/>
      <c r="Y1807" s="4"/>
      <c r="Z1807" s="4"/>
      <c r="AA1807" s="4"/>
      <c r="AB1807" s="4"/>
      <c r="AC1807" s="4"/>
      <c r="AD1807" s="4"/>
      <c r="AE1807" s="4"/>
      <c r="AF1807" s="4"/>
      <c r="AG1807" s="4"/>
      <c r="AH1807" s="4"/>
      <c r="AI1807" s="4"/>
      <c r="AJ1807" s="4"/>
      <c r="AK1807" s="4"/>
      <c r="AL1807" s="4"/>
      <c r="AM1807" s="4"/>
      <c r="AN1807" s="4"/>
      <c r="AO1807" s="4"/>
      <c r="AP1807" s="4"/>
      <c r="AQ1807" s="4"/>
      <c r="AR1807" s="4"/>
      <c r="AS1807" s="4"/>
      <c r="AT1807" s="4"/>
      <c r="AU1807" s="4"/>
      <c r="AV1807" s="4"/>
      <c r="AW1807" s="4"/>
      <c r="AX1807" s="4"/>
      <c r="AY1807" s="4"/>
      <c r="AZ1807" s="4"/>
      <c r="BA1807" s="4"/>
      <c r="BB1807" s="4"/>
      <c r="BC1807" s="4"/>
      <c r="BD1807" s="4"/>
      <c r="BE1807" s="4"/>
      <c r="BF1807" s="4"/>
      <c r="BG1807" s="4"/>
      <c r="BH1807" s="4"/>
      <c r="BI1807" s="4"/>
      <c r="BJ1807" s="4"/>
      <c r="BK1807" s="4"/>
      <c r="BL1807" s="4"/>
      <c r="BM1807" s="4"/>
      <c r="BN1807" s="4"/>
      <c r="BO1807" s="4"/>
      <c r="BP1807" s="4"/>
      <c r="BQ1807" s="4"/>
      <c r="BR1807" s="4"/>
      <c r="BS1807" s="4"/>
      <c r="BT1807" s="4"/>
      <c r="BU1807" s="4"/>
      <c r="BV1807" s="4"/>
      <c r="BW1807" s="4"/>
      <c r="BX1807" s="4"/>
      <c r="BY1807" s="4"/>
      <c r="BZ1807" s="4"/>
      <c r="CA1807" s="4"/>
      <c r="CB1807" s="4"/>
      <c r="CC1807" s="4"/>
      <c r="CD1807" s="4"/>
      <c r="CE1807" s="4"/>
      <c r="CF1807" s="4"/>
      <c r="CG1807" s="4"/>
      <c r="CH1807" s="4"/>
      <c r="CI1807" s="4"/>
      <c r="CJ1807" s="4"/>
      <c r="CK1807" s="4"/>
      <c r="CL1807" s="4"/>
      <c r="CM1807" s="4"/>
      <c r="CN1807" s="4"/>
      <c r="CO1807" s="4"/>
      <c r="CP1807" s="4"/>
      <c r="CQ1807" s="4"/>
      <c r="CR1807" s="4"/>
      <c r="CS1807" s="4"/>
      <c r="CT1807" s="4"/>
    </row>
    <row r="1808" spans="1:98" x14ac:dyDescent="0.25">
      <c r="A1808" s="2" t="s">
        <v>15</v>
      </c>
      <c r="B1808" s="2" t="str">
        <f>"FES1162769649"</f>
        <v>FES1162769649</v>
      </c>
      <c r="C1808" s="2" t="s">
        <v>1266</v>
      </c>
      <c r="D1808" s="2">
        <v>1</v>
      </c>
      <c r="E1808" s="2" t="str">
        <f>"2170756740"</f>
        <v>2170756740</v>
      </c>
      <c r="F1808" s="2" t="s">
        <v>17</v>
      </c>
      <c r="G1808" s="2" t="s">
        <v>18</v>
      </c>
      <c r="H1808" s="2" t="s">
        <v>25</v>
      </c>
      <c r="I1808" s="2" t="s">
        <v>125</v>
      </c>
      <c r="J1808" s="2" t="s">
        <v>126</v>
      </c>
      <c r="K1808" s="2" t="s">
        <v>1353</v>
      </c>
      <c r="L1808" s="3">
        <v>0.53680555555555554</v>
      </c>
      <c r="M1808" s="2" t="s">
        <v>1474</v>
      </c>
      <c r="N1808" s="2" t="s">
        <v>500</v>
      </c>
      <c r="O1808" s="5"/>
      <c r="P1808" s="4"/>
      <c r="Q1808" s="4"/>
      <c r="R1808" s="4"/>
      <c r="S1808" s="4"/>
      <c r="T1808" s="4"/>
      <c r="U1808" s="4"/>
      <c r="V1808" s="4"/>
      <c r="W1808" s="4"/>
      <c r="X1808" s="4"/>
      <c r="Y1808" s="4"/>
      <c r="Z1808" s="4"/>
      <c r="AA1808" s="4"/>
      <c r="AB1808" s="4"/>
      <c r="AC1808" s="4"/>
      <c r="AD1808" s="4"/>
      <c r="AE1808" s="4"/>
      <c r="AF1808" s="4"/>
      <c r="AG1808" s="4"/>
      <c r="AH1808" s="4"/>
      <c r="AI1808" s="4"/>
      <c r="AJ1808" s="4"/>
      <c r="AK1808" s="4"/>
      <c r="AL1808" s="4"/>
      <c r="AM1808" s="4"/>
      <c r="AN1808" s="4"/>
      <c r="AO1808" s="4"/>
      <c r="AP1808" s="4"/>
      <c r="AQ1808" s="4"/>
      <c r="AR1808" s="4"/>
      <c r="AS1808" s="4"/>
      <c r="AT1808" s="4"/>
      <c r="AU1808" s="4"/>
      <c r="AV1808" s="4"/>
      <c r="AW1808" s="4"/>
      <c r="AX1808" s="4"/>
      <c r="AY1808" s="4"/>
      <c r="AZ1808" s="4"/>
      <c r="BA1808" s="4"/>
      <c r="BB1808" s="4"/>
      <c r="BC1808" s="4"/>
      <c r="BD1808" s="4"/>
      <c r="BE1808" s="4"/>
      <c r="BF1808" s="4"/>
      <c r="BG1808" s="4"/>
      <c r="BH1808" s="4"/>
      <c r="BI1808" s="4"/>
      <c r="BJ1808" s="4"/>
      <c r="BK1808" s="4"/>
      <c r="BL1808" s="4"/>
      <c r="BM1808" s="4"/>
      <c r="BN1808" s="4"/>
      <c r="BO1808" s="4"/>
      <c r="BP1808" s="4"/>
      <c r="BQ1808" s="4"/>
      <c r="BR1808" s="4"/>
      <c r="BS1808" s="4"/>
      <c r="BT1808" s="4"/>
      <c r="BU1808" s="4"/>
      <c r="BV1808" s="4"/>
      <c r="BW1808" s="4"/>
      <c r="BX1808" s="4"/>
      <c r="BY1808" s="4"/>
      <c r="BZ1808" s="4"/>
      <c r="CA1808" s="4"/>
      <c r="CB1808" s="4"/>
      <c r="CC1808" s="4"/>
      <c r="CD1808" s="4"/>
      <c r="CE1808" s="4"/>
      <c r="CF1808" s="4"/>
      <c r="CG1808" s="4"/>
      <c r="CH1808" s="4"/>
      <c r="CI1808" s="4"/>
      <c r="CJ1808" s="4"/>
      <c r="CK1808" s="4"/>
      <c r="CL1808" s="4"/>
      <c r="CM1808" s="4"/>
      <c r="CN1808" s="4"/>
      <c r="CO1808" s="4"/>
      <c r="CP1808" s="4"/>
      <c r="CQ1808" s="4"/>
      <c r="CR1808" s="4"/>
      <c r="CS1808" s="4"/>
      <c r="CT1808" s="4"/>
    </row>
    <row r="1809" spans="1:98" x14ac:dyDescent="0.25">
      <c r="A1809" s="2" t="s">
        <v>15</v>
      </c>
      <c r="B1809" s="2" t="str">
        <f>"FES1162769839"</f>
        <v>FES1162769839</v>
      </c>
      <c r="C1809" s="2" t="s">
        <v>1266</v>
      </c>
      <c r="D1809" s="2">
        <v>1</v>
      </c>
      <c r="E1809" s="2" t="str">
        <f>"2170757111"</f>
        <v>2170757111</v>
      </c>
      <c r="F1809" s="2" t="s">
        <v>17</v>
      </c>
      <c r="G1809" s="2" t="s">
        <v>18</v>
      </c>
      <c r="H1809" s="2" t="s">
        <v>18</v>
      </c>
      <c r="I1809" s="2" t="s">
        <v>63</v>
      </c>
      <c r="J1809" s="2" t="s">
        <v>93</v>
      </c>
      <c r="K1809" s="2" t="s">
        <v>1353</v>
      </c>
      <c r="L1809" s="3">
        <v>0.34861111111111115</v>
      </c>
      <c r="M1809" s="2" t="s">
        <v>736</v>
      </c>
      <c r="N1809" s="2" t="s">
        <v>500</v>
      </c>
      <c r="O1809" s="5"/>
      <c r="P1809" s="4"/>
      <c r="Q1809" s="4"/>
      <c r="R1809" s="4"/>
      <c r="S1809" s="4"/>
      <c r="T1809" s="4"/>
      <c r="U1809" s="4"/>
      <c r="V1809" s="4"/>
      <c r="W1809" s="4"/>
      <c r="X1809" s="4"/>
      <c r="Y1809" s="4"/>
      <c r="Z1809" s="4"/>
      <c r="AA1809" s="4"/>
      <c r="AB1809" s="4"/>
      <c r="AC1809" s="4"/>
      <c r="AD1809" s="4"/>
      <c r="AE1809" s="4"/>
      <c r="AF1809" s="4"/>
      <c r="AG1809" s="4"/>
      <c r="AH1809" s="4"/>
      <c r="AI1809" s="4"/>
      <c r="AJ1809" s="4"/>
      <c r="AK1809" s="4"/>
      <c r="AL1809" s="4"/>
      <c r="AM1809" s="4"/>
      <c r="AN1809" s="4"/>
      <c r="AO1809" s="4"/>
      <c r="AP1809" s="4"/>
      <c r="AQ1809" s="4"/>
      <c r="AR1809" s="4"/>
      <c r="AS1809" s="4"/>
      <c r="AT1809" s="4"/>
      <c r="AU1809" s="4"/>
      <c r="AV1809" s="4"/>
      <c r="AW1809" s="4"/>
      <c r="AX1809" s="4"/>
      <c r="AY1809" s="4"/>
      <c r="AZ1809" s="4"/>
      <c r="BA1809" s="4"/>
      <c r="BB1809" s="4"/>
      <c r="BC1809" s="4"/>
      <c r="BD1809" s="4"/>
      <c r="BE1809" s="4"/>
      <c r="BF1809" s="4"/>
      <c r="BG1809" s="4"/>
      <c r="BH1809" s="4"/>
      <c r="BI1809" s="4"/>
      <c r="BJ1809" s="4"/>
      <c r="BK1809" s="4"/>
      <c r="BL1809" s="4"/>
      <c r="BM1809" s="4"/>
      <c r="BN1809" s="4"/>
      <c r="BO1809" s="4"/>
      <c r="BP1809" s="4"/>
      <c r="BQ1809" s="4"/>
      <c r="BR1809" s="4"/>
      <c r="BS1809" s="4"/>
      <c r="BT1809" s="4"/>
      <c r="BU1809" s="4"/>
      <c r="BV1809" s="4"/>
      <c r="BW1809" s="4"/>
      <c r="BX1809" s="4"/>
      <c r="BY1809" s="4"/>
      <c r="BZ1809" s="4"/>
      <c r="CA1809" s="4"/>
      <c r="CB1809" s="4"/>
      <c r="CC1809" s="4"/>
      <c r="CD1809" s="4"/>
      <c r="CE1809" s="4"/>
      <c r="CF1809" s="4"/>
      <c r="CG1809" s="4"/>
      <c r="CH1809" s="4"/>
      <c r="CI1809" s="4"/>
      <c r="CJ1809" s="4"/>
      <c r="CK1809" s="4"/>
      <c r="CL1809" s="4"/>
      <c r="CM1809" s="4"/>
      <c r="CN1809" s="4"/>
      <c r="CO1809" s="4"/>
      <c r="CP1809" s="4"/>
      <c r="CQ1809" s="4"/>
      <c r="CR1809" s="4"/>
      <c r="CS1809" s="4"/>
      <c r="CT1809" s="4"/>
    </row>
    <row r="1810" spans="1:98" x14ac:dyDescent="0.25">
      <c r="A1810" s="2" t="s">
        <v>15</v>
      </c>
      <c r="B1810" s="2" t="str">
        <f>"FES1162769818"</f>
        <v>FES1162769818</v>
      </c>
      <c r="C1810" s="2" t="s">
        <v>1266</v>
      </c>
      <c r="D1810" s="2">
        <v>1</v>
      </c>
      <c r="E1810" s="2" t="str">
        <f>"2170757076"</f>
        <v>2170757076</v>
      </c>
      <c r="F1810" s="2" t="s">
        <v>17</v>
      </c>
      <c r="G1810" s="2" t="s">
        <v>18</v>
      </c>
      <c r="H1810" s="2" t="s">
        <v>18</v>
      </c>
      <c r="I1810" s="2" t="s">
        <v>63</v>
      </c>
      <c r="J1810" s="2" t="s">
        <v>93</v>
      </c>
      <c r="K1810" s="2" t="s">
        <v>1353</v>
      </c>
      <c r="L1810" s="3">
        <v>0.34722222222222227</v>
      </c>
      <c r="M1810" s="2" t="s">
        <v>736</v>
      </c>
      <c r="N1810" s="2" t="s">
        <v>500</v>
      </c>
      <c r="O1810" s="5"/>
      <c r="P1810" s="4"/>
      <c r="Q1810" s="4"/>
      <c r="R1810" s="4"/>
      <c r="S1810" s="4"/>
      <c r="T1810" s="4"/>
      <c r="U1810" s="4"/>
      <c r="V1810" s="4"/>
      <c r="W1810" s="4"/>
      <c r="X1810" s="4"/>
      <c r="Y1810" s="4"/>
      <c r="Z1810" s="4"/>
      <c r="AA1810" s="4"/>
      <c r="AB1810" s="4"/>
      <c r="AC1810" s="4"/>
      <c r="AD1810" s="4"/>
      <c r="AE1810" s="4"/>
      <c r="AF1810" s="4"/>
      <c r="AG1810" s="4"/>
      <c r="AH1810" s="4"/>
      <c r="AI1810" s="4"/>
      <c r="AJ1810" s="4"/>
      <c r="AK1810" s="4"/>
      <c r="AL1810" s="4"/>
      <c r="AM1810" s="4"/>
      <c r="AN1810" s="4"/>
      <c r="AO1810" s="4"/>
      <c r="AP1810" s="4"/>
      <c r="AQ1810" s="4"/>
      <c r="AR1810" s="4"/>
      <c r="AS1810" s="4"/>
      <c r="AT1810" s="4"/>
      <c r="AU1810" s="4"/>
      <c r="AV1810" s="4"/>
      <c r="AW1810" s="4"/>
      <c r="AX1810" s="4"/>
      <c r="AY1810" s="4"/>
      <c r="AZ1810" s="4"/>
      <c r="BA1810" s="4"/>
      <c r="BB1810" s="4"/>
      <c r="BC1810" s="4"/>
      <c r="BD1810" s="4"/>
      <c r="BE1810" s="4"/>
      <c r="BF1810" s="4"/>
      <c r="BG1810" s="4"/>
      <c r="BH1810" s="4"/>
      <c r="BI1810" s="4"/>
      <c r="BJ1810" s="4"/>
      <c r="BK1810" s="4"/>
      <c r="BL1810" s="4"/>
      <c r="BM1810" s="4"/>
      <c r="BN1810" s="4"/>
      <c r="BO1810" s="4"/>
      <c r="BP1810" s="4"/>
      <c r="BQ1810" s="4"/>
      <c r="BR1810" s="4"/>
      <c r="BS1810" s="4"/>
      <c r="BT1810" s="4"/>
      <c r="BU1810" s="4"/>
      <c r="BV1810" s="4"/>
      <c r="BW1810" s="4"/>
      <c r="BX1810" s="4"/>
      <c r="BY1810" s="4"/>
      <c r="BZ1810" s="4"/>
      <c r="CA1810" s="4"/>
      <c r="CB1810" s="4"/>
      <c r="CC1810" s="4"/>
      <c r="CD1810" s="4"/>
      <c r="CE1810" s="4"/>
      <c r="CF1810" s="4"/>
      <c r="CG1810" s="4"/>
      <c r="CH1810" s="4"/>
      <c r="CI1810" s="4"/>
      <c r="CJ1810" s="4"/>
      <c r="CK1810" s="4"/>
      <c r="CL1810" s="4"/>
      <c r="CM1810" s="4"/>
      <c r="CN1810" s="4"/>
      <c r="CO1810" s="4"/>
      <c r="CP1810" s="4"/>
      <c r="CQ1810" s="4"/>
      <c r="CR1810" s="4"/>
      <c r="CS1810" s="4"/>
      <c r="CT1810" s="4"/>
    </row>
    <row r="1811" spans="1:98" x14ac:dyDescent="0.25">
      <c r="A1811" s="2" t="s">
        <v>15</v>
      </c>
      <c r="B1811" s="2" t="str">
        <f>"FES1162769617"</f>
        <v>FES1162769617</v>
      </c>
      <c r="C1811" s="2" t="s">
        <v>1266</v>
      </c>
      <c r="D1811" s="2">
        <v>1</v>
      </c>
      <c r="E1811" s="2" t="str">
        <f>"2170756690"</f>
        <v>2170756690</v>
      </c>
      <c r="F1811" s="2" t="s">
        <v>17</v>
      </c>
      <c r="G1811" s="2" t="s">
        <v>18</v>
      </c>
      <c r="H1811" s="2" t="s">
        <v>25</v>
      </c>
      <c r="I1811" s="2" t="s">
        <v>26</v>
      </c>
      <c r="J1811" s="2" t="s">
        <v>474</v>
      </c>
      <c r="K1811" s="2" t="s">
        <v>1353</v>
      </c>
      <c r="L1811" s="3">
        <v>0.41666666666666669</v>
      </c>
      <c r="M1811" s="2" t="s">
        <v>1475</v>
      </c>
      <c r="N1811" s="2" t="s">
        <v>500</v>
      </c>
      <c r="O1811" s="5"/>
      <c r="P1811" s="4"/>
      <c r="Q1811" s="4"/>
      <c r="R1811" s="4"/>
      <c r="S1811" s="4"/>
      <c r="T1811" s="4"/>
      <c r="U1811" s="4"/>
      <c r="V1811" s="4"/>
      <c r="W1811" s="4"/>
      <c r="X1811" s="4"/>
      <c r="Y1811" s="4"/>
      <c r="Z1811" s="4"/>
      <c r="AA1811" s="4"/>
      <c r="AB1811" s="4"/>
      <c r="AC1811" s="4"/>
      <c r="AD1811" s="4"/>
      <c r="AE1811" s="4"/>
      <c r="AF1811" s="4"/>
      <c r="AG1811" s="4"/>
      <c r="AH1811" s="4"/>
      <c r="AI1811" s="4"/>
      <c r="AJ1811" s="4"/>
      <c r="AK1811" s="4"/>
      <c r="AL1811" s="4"/>
      <c r="AM1811" s="4"/>
      <c r="AN1811" s="4"/>
      <c r="AO1811" s="4"/>
      <c r="AP1811" s="4"/>
      <c r="AQ1811" s="4"/>
      <c r="AR1811" s="4"/>
      <c r="AS1811" s="4"/>
      <c r="AT1811" s="4"/>
      <c r="AU1811" s="4"/>
      <c r="AV1811" s="4"/>
      <c r="AW1811" s="4"/>
      <c r="AX1811" s="4"/>
      <c r="AY1811" s="4"/>
      <c r="AZ1811" s="4"/>
      <c r="BA1811" s="4"/>
      <c r="BB1811" s="4"/>
      <c r="BC1811" s="4"/>
      <c r="BD1811" s="4"/>
      <c r="BE1811" s="4"/>
      <c r="BF1811" s="4"/>
      <c r="BG1811" s="4"/>
      <c r="BH1811" s="4"/>
      <c r="BI1811" s="4"/>
      <c r="BJ1811" s="4"/>
      <c r="BK1811" s="4"/>
      <c r="BL1811" s="4"/>
      <c r="BM1811" s="4"/>
      <c r="BN1811" s="4"/>
      <c r="BO1811" s="4"/>
      <c r="BP1811" s="4"/>
      <c r="BQ1811" s="4"/>
      <c r="BR1811" s="4"/>
      <c r="BS1811" s="4"/>
      <c r="BT1811" s="4"/>
      <c r="BU1811" s="4"/>
      <c r="BV1811" s="4"/>
      <c r="BW1811" s="4"/>
      <c r="BX1811" s="4"/>
      <c r="BY1811" s="4"/>
      <c r="BZ1811" s="4"/>
      <c r="CA1811" s="4"/>
      <c r="CB1811" s="4"/>
      <c r="CC1811" s="4"/>
      <c r="CD1811" s="4"/>
      <c r="CE1811" s="4"/>
      <c r="CF1811" s="4"/>
      <c r="CG1811" s="4"/>
      <c r="CH1811" s="4"/>
      <c r="CI1811" s="4"/>
      <c r="CJ1811" s="4"/>
      <c r="CK1811" s="4"/>
      <c r="CL1811" s="4"/>
      <c r="CM1811" s="4"/>
      <c r="CN1811" s="4"/>
      <c r="CO1811" s="4"/>
      <c r="CP1811" s="4"/>
      <c r="CQ1811" s="4"/>
      <c r="CR1811" s="4"/>
      <c r="CS1811" s="4"/>
      <c r="CT1811" s="4"/>
    </row>
    <row r="1812" spans="1:98" x14ac:dyDescent="0.25">
      <c r="A1812" s="2" t="s">
        <v>15</v>
      </c>
      <c r="B1812" s="2" t="str">
        <f>"FES1162769573"</f>
        <v>FES1162769573</v>
      </c>
      <c r="C1812" s="2" t="s">
        <v>1266</v>
      </c>
      <c r="D1812" s="2">
        <v>1</v>
      </c>
      <c r="E1812" s="2" t="str">
        <f>"2170756605"</f>
        <v>2170756605</v>
      </c>
      <c r="F1812" s="2" t="s">
        <v>17</v>
      </c>
      <c r="G1812" s="2" t="s">
        <v>18</v>
      </c>
      <c r="H1812" s="2" t="s">
        <v>18</v>
      </c>
      <c r="I1812" s="2" t="s">
        <v>46</v>
      </c>
      <c r="J1812" s="2" t="s">
        <v>453</v>
      </c>
      <c r="K1812" s="2" t="s">
        <v>1353</v>
      </c>
      <c r="L1812" s="3">
        <v>0.4375</v>
      </c>
      <c r="M1812" s="2" t="s">
        <v>559</v>
      </c>
      <c r="N1812" s="2" t="s">
        <v>500</v>
      </c>
      <c r="O1812" s="5"/>
      <c r="P1812" s="4"/>
      <c r="Q1812" s="4"/>
      <c r="R1812" s="4"/>
      <c r="S1812" s="4"/>
      <c r="T1812" s="4"/>
      <c r="U1812" s="4"/>
      <c r="V1812" s="4"/>
      <c r="W1812" s="4"/>
      <c r="X1812" s="4"/>
      <c r="Y1812" s="4"/>
      <c r="Z1812" s="4"/>
      <c r="AA1812" s="4"/>
      <c r="AB1812" s="4"/>
      <c r="AC1812" s="4"/>
      <c r="AD1812" s="4"/>
      <c r="AE1812" s="4"/>
      <c r="AF1812" s="4"/>
      <c r="AG1812" s="4"/>
      <c r="AH1812" s="4"/>
      <c r="AI1812" s="4"/>
      <c r="AJ1812" s="4"/>
      <c r="AK1812" s="4"/>
      <c r="AL1812" s="4"/>
      <c r="AM1812" s="4"/>
      <c r="AN1812" s="4"/>
      <c r="AO1812" s="4"/>
      <c r="AP1812" s="4"/>
      <c r="AQ1812" s="4"/>
      <c r="AR1812" s="4"/>
      <c r="AS1812" s="4"/>
      <c r="AT1812" s="4"/>
      <c r="AU1812" s="4"/>
      <c r="AV1812" s="4"/>
      <c r="AW1812" s="4"/>
      <c r="AX1812" s="4"/>
      <c r="AY1812" s="4"/>
      <c r="AZ1812" s="4"/>
      <c r="BA1812" s="4"/>
      <c r="BB1812" s="4"/>
      <c r="BC1812" s="4"/>
      <c r="BD1812" s="4"/>
      <c r="BE1812" s="4"/>
      <c r="BF1812" s="4"/>
      <c r="BG1812" s="4"/>
      <c r="BH1812" s="4"/>
      <c r="BI1812" s="4"/>
      <c r="BJ1812" s="4"/>
      <c r="BK1812" s="4"/>
      <c r="BL1812" s="4"/>
      <c r="BM1812" s="4"/>
      <c r="BN1812" s="4"/>
      <c r="BO1812" s="4"/>
      <c r="BP1812" s="4"/>
      <c r="BQ1812" s="4"/>
      <c r="BR1812" s="4"/>
      <c r="BS1812" s="4"/>
      <c r="BT1812" s="4"/>
      <c r="BU1812" s="4"/>
      <c r="BV1812" s="4"/>
      <c r="BW1812" s="4"/>
      <c r="BX1812" s="4"/>
      <c r="BY1812" s="4"/>
      <c r="BZ1812" s="4"/>
      <c r="CA1812" s="4"/>
      <c r="CB1812" s="4"/>
      <c r="CC1812" s="4"/>
      <c r="CD1812" s="4"/>
      <c r="CE1812" s="4"/>
      <c r="CF1812" s="4"/>
      <c r="CG1812" s="4"/>
      <c r="CH1812" s="4"/>
      <c r="CI1812" s="4"/>
      <c r="CJ1812" s="4"/>
      <c r="CK1812" s="4"/>
      <c r="CL1812" s="4"/>
      <c r="CM1812" s="4"/>
      <c r="CN1812" s="4"/>
      <c r="CO1812" s="4"/>
      <c r="CP1812" s="4"/>
      <c r="CQ1812" s="4"/>
      <c r="CR1812" s="4"/>
      <c r="CS1812" s="4"/>
      <c r="CT1812" s="4"/>
    </row>
    <row r="1813" spans="1:98" x14ac:dyDescent="0.25">
      <c r="A1813" s="2" t="s">
        <v>15</v>
      </c>
      <c r="B1813" s="2" t="str">
        <f>"FES1162769564"</f>
        <v>FES1162769564</v>
      </c>
      <c r="C1813" s="2" t="s">
        <v>1266</v>
      </c>
      <c r="D1813" s="2">
        <v>1</v>
      </c>
      <c r="E1813" s="2" t="str">
        <f>"2170756590"</f>
        <v>2170756590</v>
      </c>
      <c r="F1813" s="2" t="s">
        <v>17</v>
      </c>
      <c r="G1813" s="2" t="s">
        <v>18</v>
      </c>
      <c r="H1813" s="2" t="s">
        <v>18</v>
      </c>
      <c r="I1813" s="2" t="s">
        <v>63</v>
      </c>
      <c r="J1813" s="2" t="s">
        <v>93</v>
      </c>
      <c r="K1813" s="2" t="s">
        <v>1353</v>
      </c>
      <c r="L1813" s="3">
        <v>0.34513888888888888</v>
      </c>
      <c r="M1813" s="2" t="s">
        <v>736</v>
      </c>
      <c r="N1813" s="2" t="s">
        <v>500</v>
      </c>
      <c r="O1813" s="5"/>
      <c r="P1813" s="4"/>
      <c r="Q1813" s="4"/>
      <c r="R1813" s="4"/>
      <c r="S1813" s="4"/>
      <c r="T1813" s="4"/>
      <c r="U1813" s="4"/>
      <c r="V1813" s="4"/>
      <c r="W1813" s="4"/>
      <c r="X1813" s="4"/>
      <c r="Y1813" s="4"/>
      <c r="Z1813" s="4"/>
      <c r="AA1813" s="4"/>
      <c r="AB1813" s="4"/>
      <c r="AC1813" s="4"/>
      <c r="AD1813" s="4"/>
      <c r="AE1813" s="4"/>
      <c r="AF1813" s="4"/>
      <c r="AG1813" s="4"/>
      <c r="AH1813" s="4"/>
      <c r="AI1813" s="4"/>
      <c r="AJ1813" s="4"/>
      <c r="AK1813" s="4"/>
      <c r="AL1813" s="4"/>
      <c r="AM1813" s="4"/>
      <c r="AN1813" s="4"/>
      <c r="AO1813" s="4"/>
      <c r="AP1813" s="4"/>
      <c r="AQ1813" s="4"/>
      <c r="AR1813" s="4"/>
      <c r="AS1813" s="4"/>
      <c r="AT1813" s="4"/>
      <c r="AU1813" s="4"/>
      <c r="AV1813" s="4"/>
      <c r="AW1813" s="4"/>
      <c r="AX1813" s="4"/>
      <c r="AY1813" s="4"/>
      <c r="AZ1813" s="4"/>
      <c r="BA1813" s="4"/>
      <c r="BB1813" s="4"/>
      <c r="BC1813" s="4"/>
      <c r="BD1813" s="4"/>
      <c r="BE1813" s="4"/>
      <c r="BF1813" s="4"/>
      <c r="BG1813" s="4"/>
      <c r="BH1813" s="4"/>
      <c r="BI1813" s="4"/>
      <c r="BJ1813" s="4"/>
      <c r="BK1813" s="4"/>
      <c r="BL1813" s="4"/>
      <c r="BM1813" s="4"/>
      <c r="BN1813" s="4"/>
      <c r="BO1813" s="4"/>
      <c r="BP1813" s="4"/>
      <c r="BQ1813" s="4"/>
      <c r="BR1813" s="4"/>
      <c r="BS1813" s="4"/>
      <c r="BT1813" s="4"/>
      <c r="BU1813" s="4"/>
      <c r="BV1813" s="4"/>
      <c r="BW1813" s="4"/>
      <c r="BX1813" s="4"/>
      <c r="BY1813" s="4"/>
      <c r="BZ1813" s="4"/>
      <c r="CA1813" s="4"/>
      <c r="CB1813" s="4"/>
      <c r="CC1813" s="4"/>
      <c r="CD1813" s="4"/>
      <c r="CE1813" s="4"/>
      <c r="CF1813" s="4"/>
      <c r="CG1813" s="4"/>
      <c r="CH1813" s="4"/>
      <c r="CI1813" s="4"/>
      <c r="CJ1813" s="4"/>
      <c r="CK1813" s="4"/>
      <c r="CL1813" s="4"/>
      <c r="CM1813" s="4"/>
      <c r="CN1813" s="4"/>
      <c r="CO1813" s="4"/>
      <c r="CP1813" s="4"/>
      <c r="CQ1813" s="4"/>
      <c r="CR1813" s="4"/>
      <c r="CS1813" s="4"/>
      <c r="CT1813" s="4"/>
    </row>
    <row r="1814" spans="1:98" x14ac:dyDescent="0.25">
      <c r="A1814" s="2" t="s">
        <v>15</v>
      </c>
      <c r="B1814" s="2" t="str">
        <f>"FES1162769846"</f>
        <v>FES1162769846</v>
      </c>
      <c r="C1814" s="2" t="s">
        <v>1266</v>
      </c>
      <c r="D1814" s="2">
        <v>1</v>
      </c>
      <c r="E1814" s="2" t="str">
        <f>"2170757122"</f>
        <v>2170757122</v>
      </c>
      <c r="F1814" s="2" t="s">
        <v>17</v>
      </c>
      <c r="G1814" s="2" t="s">
        <v>18</v>
      </c>
      <c r="H1814" s="2" t="s">
        <v>18</v>
      </c>
      <c r="I1814" s="2" t="s">
        <v>50</v>
      </c>
      <c r="J1814" s="2" t="s">
        <v>51</v>
      </c>
      <c r="K1814" s="2" t="s">
        <v>1353</v>
      </c>
      <c r="L1814" s="3">
        <v>0.33333333333333331</v>
      </c>
      <c r="M1814" s="2" t="s">
        <v>1476</v>
      </c>
      <c r="N1814" s="2" t="s">
        <v>500</v>
      </c>
      <c r="O1814" s="5"/>
      <c r="P1814" s="4"/>
      <c r="Q1814" s="4"/>
      <c r="R1814" s="4"/>
      <c r="S1814" s="4"/>
      <c r="T1814" s="4"/>
      <c r="U1814" s="4"/>
      <c r="V1814" s="4"/>
      <c r="W1814" s="4"/>
      <c r="X1814" s="4"/>
      <c r="Y1814" s="4"/>
      <c r="Z1814" s="4"/>
      <c r="AA1814" s="4"/>
      <c r="AB1814" s="4"/>
      <c r="AC1814" s="4"/>
      <c r="AD1814" s="4"/>
      <c r="AE1814" s="4"/>
      <c r="AF1814" s="4"/>
      <c r="AG1814" s="4"/>
      <c r="AH1814" s="4"/>
      <c r="AI1814" s="4"/>
      <c r="AJ1814" s="4"/>
      <c r="AK1814" s="4"/>
      <c r="AL1814" s="4"/>
      <c r="AM1814" s="4"/>
      <c r="AN1814" s="4"/>
      <c r="AO1814" s="4"/>
      <c r="AP1814" s="4"/>
      <c r="AQ1814" s="4"/>
      <c r="AR1814" s="4"/>
      <c r="AS1814" s="4"/>
      <c r="AT1814" s="4"/>
      <c r="AU1814" s="4"/>
      <c r="AV1814" s="4"/>
      <c r="AW1814" s="4"/>
      <c r="AX1814" s="4"/>
      <c r="AY1814" s="4"/>
      <c r="AZ1814" s="4"/>
      <c r="BA1814" s="4"/>
      <c r="BB1814" s="4"/>
      <c r="BC1814" s="4"/>
      <c r="BD1814" s="4"/>
      <c r="BE1814" s="4"/>
      <c r="BF1814" s="4"/>
      <c r="BG1814" s="4"/>
      <c r="BH1814" s="4"/>
      <c r="BI1814" s="4"/>
      <c r="BJ1814" s="4"/>
      <c r="BK1814" s="4"/>
      <c r="BL1814" s="4"/>
      <c r="BM1814" s="4"/>
      <c r="BN1814" s="4"/>
      <c r="BO1814" s="4"/>
      <c r="BP1814" s="4"/>
      <c r="BQ1814" s="4"/>
      <c r="BR1814" s="4"/>
      <c r="BS1814" s="4"/>
      <c r="BT1814" s="4"/>
      <c r="BU1814" s="4"/>
      <c r="BV1814" s="4"/>
      <c r="BW1814" s="4"/>
      <c r="BX1814" s="4"/>
      <c r="BY1814" s="4"/>
      <c r="BZ1814" s="4"/>
      <c r="CA1814" s="4"/>
      <c r="CB1814" s="4"/>
      <c r="CC1814" s="4"/>
      <c r="CD1814" s="4"/>
      <c r="CE1814" s="4"/>
      <c r="CF1814" s="4"/>
      <c r="CG1814" s="4"/>
      <c r="CH1814" s="4"/>
      <c r="CI1814" s="4"/>
      <c r="CJ1814" s="4"/>
      <c r="CK1814" s="4"/>
      <c r="CL1814" s="4"/>
      <c r="CM1814" s="4"/>
      <c r="CN1814" s="4"/>
      <c r="CO1814" s="4"/>
      <c r="CP1814" s="4"/>
      <c r="CQ1814" s="4"/>
      <c r="CR1814" s="4"/>
      <c r="CS1814" s="4"/>
      <c r="CT1814" s="4"/>
    </row>
    <row r="1815" spans="1:98" x14ac:dyDescent="0.25">
      <c r="A1815" s="2" t="s">
        <v>15</v>
      </c>
      <c r="B1815" s="2" t="str">
        <f>"FES1162769930"</f>
        <v>FES1162769930</v>
      </c>
      <c r="C1815" s="2" t="s">
        <v>1266</v>
      </c>
      <c r="D1815" s="2">
        <v>1</v>
      </c>
      <c r="E1815" s="2" t="str">
        <f>"2170755269"</f>
        <v>2170755269</v>
      </c>
      <c r="F1815" s="2" t="s">
        <v>17</v>
      </c>
      <c r="G1815" s="2" t="s">
        <v>18</v>
      </c>
      <c r="H1815" s="2" t="s">
        <v>88</v>
      </c>
      <c r="I1815" s="2" t="s">
        <v>109</v>
      </c>
      <c r="J1815" s="2" t="s">
        <v>904</v>
      </c>
      <c r="K1815" s="2" t="s">
        <v>1353</v>
      </c>
      <c r="L1815" s="3">
        <v>0.43888888888888888</v>
      </c>
      <c r="M1815" s="2" t="s">
        <v>992</v>
      </c>
      <c r="N1815" s="2" t="s">
        <v>500</v>
      </c>
      <c r="O1815" s="5"/>
      <c r="P1815" s="4"/>
      <c r="Q1815" s="4"/>
      <c r="R1815" s="4"/>
      <c r="S1815" s="4"/>
      <c r="T1815" s="4"/>
      <c r="U1815" s="4"/>
      <c r="V1815" s="4"/>
      <c r="W1815" s="4"/>
      <c r="X1815" s="4"/>
      <c r="Y1815" s="4"/>
      <c r="Z1815" s="4"/>
      <c r="AA1815" s="4"/>
      <c r="AB1815" s="4"/>
      <c r="AC1815" s="4"/>
      <c r="AD1815" s="4"/>
      <c r="AE1815" s="4"/>
      <c r="AF1815" s="4"/>
      <c r="AG1815" s="4"/>
      <c r="AH1815" s="4"/>
      <c r="AI1815" s="4"/>
      <c r="AJ1815" s="4"/>
      <c r="AK1815" s="4"/>
      <c r="AL1815" s="4"/>
      <c r="AM1815" s="4"/>
      <c r="AN1815" s="4"/>
      <c r="AO1815" s="4"/>
      <c r="AP1815" s="4"/>
      <c r="AQ1815" s="4"/>
      <c r="AR1815" s="4"/>
      <c r="AS1815" s="4"/>
      <c r="AT1815" s="4"/>
      <c r="AU1815" s="4"/>
      <c r="AV1815" s="4"/>
      <c r="AW1815" s="4"/>
      <c r="AX1815" s="4"/>
      <c r="AY1815" s="4"/>
      <c r="AZ1815" s="4"/>
      <c r="BA1815" s="4"/>
      <c r="BB1815" s="4"/>
      <c r="BC1815" s="4"/>
      <c r="BD1815" s="4"/>
      <c r="BE1815" s="4"/>
      <c r="BF1815" s="4"/>
      <c r="BG1815" s="4"/>
      <c r="BH1815" s="4"/>
      <c r="BI1815" s="4"/>
      <c r="BJ1815" s="4"/>
      <c r="BK1815" s="4"/>
      <c r="BL1815" s="4"/>
      <c r="BM1815" s="4"/>
      <c r="BN1815" s="4"/>
      <c r="BO1815" s="4"/>
      <c r="BP1815" s="4"/>
      <c r="BQ1815" s="4"/>
      <c r="BR1815" s="4"/>
      <c r="BS1815" s="4"/>
      <c r="BT1815" s="4"/>
      <c r="BU1815" s="4"/>
      <c r="BV1815" s="4"/>
      <c r="BW1815" s="4"/>
      <c r="BX1815" s="4"/>
      <c r="BY1815" s="4"/>
      <c r="BZ1815" s="4"/>
      <c r="CA1815" s="4"/>
      <c r="CB1815" s="4"/>
      <c r="CC1815" s="4"/>
      <c r="CD1815" s="4"/>
      <c r="CE1815" s="4"/>
      <c r="CF1815" s="4"/>
      <c r="CG1815" s="4"/>
      <c r="CH1815" s="4"/>
      <c r="CI1815" s="4"/>
      <c r="CJ1815" s="4"/>
      <c r="CK1815" s="4"/>
      <c r="CL1815" s="4"/>
      <c r="CM1815" s="4"/>
      <c r="CN1815" s="4"/>
      <c r="CO1815" s="4"/>
      <c r="CP1815" s="4"/>
      <c r="CQ1815" s="4"/>
      <c r="CR1815" s="4"/>
      <c r="CS1815" s="4"/>
      <c r="CT1815" s="4"/>
    </row>
    <row r="1816" spans="1:98" x14ac:dyDescent="0.25">
      <c r="A1816" s="2" t="s">
        <v>15</v>
      </c>
      <c r="B1816" s="2" t="str">
        <f>"FES1162769713"</f>
        <v>FES1162769713</v>
      </c>
      <c r="C1816" s="2" t="s">
        <v>1266</v>
      </c>
      <c r="D1816" s="2">
        <v>1</v>
      </c>
      <c r="E1816" s="2" t="str">
        <f>"2170756861"</f>
        <v>2170756861</v>
      </c>
      <c r="F1816" s="2" t="s">
        <v>17</v>
      </c>
      <c r="G1816" s="2" t="s">
        <v>18</v>
      </c>
      <c r="H1816" s="2" t="s">
        <v>25</v>
      </c>
      <c r="I1816" s="2" t="s">
        <v>26</v>
      </c>
      <c r="J1816" s="2" t="s">
        <v>75</v>
      </c>
      <c r="K1816" s="2" t="s">
        <v>1353</v>
      </c>
      <c r="L1816" s="3">
        <v>0.39444444444444443</v>
      </c>
      <c r="M1816" s="2" t="s">
        <v>518</v>
      </c>
      <c r="N1816" s="2" t="s">
        <v>500</v>
      </c>
      <c r="O1816" s="5"/>
      <c r="P1816" s="4"/>
      <c r="Q1816" s="4"/>
      <c r="R1816" s="4"/>
      <c r="S1816" s="4"/>
      <c r="T1816" s="4"/>
      <c r="U1816" s="4"/>
      <c r="V1816" s="4"/>
      <c r="W1816" s="4"/>
      <c r="X1816" s="4"/>
      <c r="Y1816" s="4"/>
      <c r="Z1816" s="4"/>
      <c r="AA1816" s="4"/>
      <c r="AB1816" s="4"/>
      <c r="AC1816" s="4"/>
      <c r="AD1816" s="4"/>
      <c r="AE1816" s="4"/>
      <c r="AF1816" s="4"/>
      <c r="AG1816" s="4"/>
      <c r="AH1816" s="4"/>
      <c r="AI1816" s="4"/>
      <c r="AJ1816" s="4"/>
      <c r="AK1816" s="4"/>
      <c r="AL1816" s="4"/>
      <c r="AM1816" s="4"/>
      <c r="AN1816" s="4"/>
      <c r="AO1816" s="4"/>
      <c r="AP1816" s="4"/>
      <c r="AQ1816" s="4"/>
      <c r="AR1816" s="4"/>
      <c r="AS1816" s="4"/>
      <c r="AT1816" s="4"/>
      <c r="AU1816" s="4"/>
      <c r="AV1816" s="4"/>
      <c r="AW1816" s="4"/>
      <c r="AX1816" s="4"/>
      <c r="AY1816" s="4"/>
      <c r="AZ1816" s="4"/>
      <c r="BA1816" s="4"/>
      <c r="BB1816" s="4"/>
      <c r="BC1816" s="4"/>
      <c r="BD1816" s="4"/>
      <c r="BE1816" s="4"/>
      <c r="BF1816" s="4"/>
      <c r="BG1816" s="4"/>
      <c r="BH1816" s="4"/>
      <c r="BI1816" s="4"/>
      <c r="BJ1816" s="4"/>
      <c r="BK1816" s="4"/>
      <c r="BL1816" s="4"/>
      <c r="BM1816" s="4"/>
      <c r="BN1816" s="4"/>
      <c r="BO1816" s="4"/>
      <c r="BP1816" s="4"/>
      <c r="BQ1816" s="4"/>
      <c r="BR1816" s="4"/>
      <c r="BS1816" s="4"/>
      <c r="BT1816" s="4"/>
      <c r="BU1816" s="4"/>
      <c r="BV1816" s="4"/>
      <c r="BW1816" s="4"/>
      <c r="BX1816" s="4"/>
      <c r="BY1816" s="4"/>
      <c r="BZ1816" s="4"/>
      <c r="CA1816" s="4"/>
      <c r="CB1816" s="4"/>
      <c r="CC1816" s="4"/>
      <c r="CD1816" s="4"/>
      <c r="CE1816" s="4"/>
      <c r="CF1816" s="4"/>
      <c r="CG1816" s="4"/>
      <c r="CH1816" s="4"/>
      <c r="CI1816" s="4"/>
      <c r="CJ1816" s="4"/>
      <c r="CK1816" s="4"/>
      <c r="CL1816" s="4"/>
      <c r="CM1816" s="4"/>
      <c r="CN1816" s="4"/>
      <c r="CO1816" s="4"/>
      <c r="CP1816" s="4"/>
      <c r="CQ1816" s="4"/>
      <c r="CR1816" s="4"/>
      <c r="CS1816" s="4"/>
      <c r="CT1816" s="4"/>
    </row>
    <row r="1817" spans="1:98" x14ac:dyDescent="0.25">
      <c r="A1817" s="2" t="s">
        <v>15</v>
      </c>
      <c r="B1817" s="2" t="str">
        <f>"FES1162769824"</f>
        <v>FES1162769824</v>
      </c>
      <c r="C1817" s="2" t="s">
        <v>1266</v>
      </c>
      <c r="D1817" s="2">
        <v>1</v>
      </c>
      <c r="E1817" s="2" t="str">
        <f>"2170757082"</f>
        <v>2170757082</v>
      </c>
      <c r="F1817" s="2" t="s">
        <v>17</v>
      </c>
      <c r="G1817" s="2" t="s">
        <v>18</v>
      </c>
      <c r="H1817" s="2" t="s">
        <v>88</v>
      </c>
      <c r="I1817" s="2" t="s">
        <v>109</v>
      </c>
      <c r="J1817" s="2" t="s">
        <v>1402</v>
      </c>
      <c r="K1817" s="2" t="s">
        <v>1353</v>
      </c>
      <c r="L1817" s="3">
        <v>0.45069444444444445</v>
      </c>
      <c r="M1817" s="2" t="s">
        <v>1477</v>
      </c>
      <c r="N1817" s="2" t="s">
        <v>500</v>
      </c>
      <c r="O1817" s="5"/>
      <c r="P1817" s="4"/>
      <c r="Q1817" s="4"/>
      <c r="R1817" s="4"/>
      <c r="S1817" s="4"/>
      <c r="T1817" s="4"/>
      <c r="U1817" s="4"/>
      <c r="V1817" s="4"/>
      <c r="W1817" s="4"/>
      <c r="X1817" s="4"/>
      <c r="Y1817" s="4"/>
      <c r="Z1817" s="4"/>
      <c r="AA1817" s="4"/>
      <c r="AB1817" s="4"/>
      <c r="AC1817" s="4"/>
      <c r="AD1817" s="4"/>
      <c r="AE1817" s="4"/>
      <c r="AF1817" s="4"/>
      <c r="AG1817" s="4"/>
      <c r="AH1817" s="4"/>
      <c r="AI1817" s="4"/>
      <c r="AJ1817" s="4"/>
      <c r="AK1817" s="4"/>
      <c r="AL1817" s="4"/>
      <c r="AM1817" s="4"/>
      <c r="AN1817" s="4"/>
      <c r="AO1817" s="4"/>
      <c r="AP1817" s="4"/>
      <c r="AQ1817" s="4"/>
      <c r="AR1817" s="4"/>
      <c r="AS1817" s="4"/>
      <c r="AT1817" s="4"/>
      <c r="AU1817" s="4"/>
      <c r="AV1817" s="4"/>
      <c r="AW1817" s="4"/>
      <c r="AX1817" s="4"/>
      <c r="AY1817" s="4"/>
      <c r="AZ1817" s="4"/>
      <c r="BA1817" s="4"/>
      <c r="BB1817" s="4"/>
      <c r="BC1817" s="4"/>
      <c r="BD1817" s="4"/>
      <c r="BE1817" s="4"/>
      <c r="BF1817" s="4"/>
      <c r="BG1817" s="4"/>
      <c r="BH1817" s="4"/>
      <c r="BI1817" s="4"/>
      <c r="BJ1817" s="4"/>
      <c r="BK1817" s="4"/>
      <c r="BL1817" s="4"/>
      <c r="BM1817" s="4"/>
      <c r="BN1817" s="4"/>
      <c r="BO1817" s="4"/>
      <c r="BP1817" s="4"/>
      <c r="BQ1817" s="4"/>
      <c r="BR1817" s="4"/>
      <c r="BS1817" s="4"/>
      <c r="BT1817" s="4"/>
      <c r="BU1817" s="4"/>
      <c r="BV1817" s="4"/>
      <c r="BW1817" s="4"/>
      <c r="BX1817" s="4"/>
      <c r="BY1817" s="4"/>
      <c r="BZ1817" s="4"/>
      <c r="CA1817" s="4"/>
      <c r="CB1817" s="4"/>
      <c r="CC1817" s="4"/>
      <c r="CD1817" s="4"/>
      <c r="CE1817" s="4"/>
      <c r="CF1817" s="4"/>
      <c r="CG1817" s="4"/>
      <c r="CH1817" s="4"/>
      <c r="CI1817" s="4"/>
      <c r="CJ1817" s="4"/>
      <c r="CK1817" s="4"/>
      <c r="CL1817" s="4"/>
      <c r="CM1817" s="4"/>
      <c r="CN1817" s="4"/>
      <c r="CO1817" s="4"/>
      <c r="CP1817" s="4"/>
      <c r="CQ1817" s="4"/>
      <c r="CR1817" s="4"/>
      <c r="CS1817" s="4"/>
      <c r="CT1817" s="4"/>
    </row>
    <row r="1818" spans="1:98" x14ac:dyDescent="0.25">
      <c r="A1818" s="2" t="s">
        <v>15</v>
      </c>
      <c r="B1818" s="2" t="str">
        <f>"FES1162769689"</f>
        <v>FES1162769689</v>
      </c>
      <c r="C1818" s="2" t="s">
        <v>1266</v>
      </c>
      <c r="D1818" s="2">
        <v>1</v>
      </c>
      <c r="E1818" s="2" t="str">
        <f>"2170756809"</f>
        <v>2170756809</v>
      </c>
      <c r="F1818" s="2" t="s">
        <v>17</v>
      </c>
      <c r="G1818" s="2" t="s">
        <v>18</v>
      </c>
      <c r="H1818" s="2" t="s">
        <v>18</v>
      </c>
      <c r="I1818" s="2" t="s">
        <v>46</v>
      </c>
      <c r="J1818" s="2" t="s">
        <v>124</v>
      </c>
      <c r="K1818" s="2" t="s">
        <v>1353</v>
      </c>
      <c r="L1818" s="3">
        <v>0.45833333333333331</v>
      </c>
      <c r="M1818" s="2" t="s">
        <v>732</v>
      </c>
      <c r="N1818" s="2" t="s">
        <v>500</v>
      </c>
      <c r="O1818" s="5"/>
      <c r="P1818" s="4"/>
      <c r="Q1818" s="4"/>
      <c r="R1818" s="4"/>
      <c r="S1818" s="4"/>
      <c r="T1818" s="4"/>
      <c r="U1818" s="4"/>
      <c r="V1818" s="4"/>
      <c r="W1818" s="4"/>
      <c r="X1818" s="4"/>
      <c r="Y1818" s="4"/>
      <c r="Z1818" s="4"/>
      <c r="AA1818" s="4"/>
      <c r="AB1818" s="4"/>
      <c r="AC1818" s="4"/>
      <c r="AD1818" s="4"/>
      <c r="AE1818" s="4"/>
      <c r="AF1818" s="4"/>
      <c r="AG1818" s="4"/>
      <c r="AH1818" s="4"/>
      <c r="AI1818" s="4"/>
      <c r="AJ1818" s="4"/>
      <c r="AK1818" s="4"/>
      <c r="AL1818" s="4"/>
      <c r="AM1818" s="4"/>
      <c r="AN1818" s="4"/>
      <c r="AO1818" s="4"/>
      <c r="AP1818" s="4"/>
      <c r="AQ1818" s="4"/>
      <c r="AR1818" s="4"/>
      <c r="AS1818" s="4"/>
      <c r="AT1818" s="4"/>
      <c r="AU1818" s="4"/>
      <c r="AV1818" s="4"/>
      <c r="AW1818" s="4"/>
      <c r="AX1818" s="4"/>
      <c r="AY1818" s="4"/>
      <c r="AZ1818" s="4"/>
      <c r="BA1818" s="4"/>
      <c r="BB1818" s="4"/>
      <c r="BC1818" s="4"/>
      <c r="BD1818" s="4"/>
      <c r="BE1818" s="4"/>
      <c r="BF1818" s="4"/>
      <c r="BG1818" s="4"/>
      <c r="BH1818" s="4"/>
      <c r="BI1818" s="4"/>
      <c r="BJ1818" s="4"/>
      <c r="BK1818" s="4"/>
      <c r="BL1818" s="4"/>
      <c r="BM1818" s="4"/>
      <c r="BN1818" s="4"/>
      <c r="BO1818" s="4"/>
      <c r="BP1818" s="4"/>
      <c r="BQ1818" s="4"/>
      <c r="BR1818" s="4"/>
      <c r="BS1818" s="4"/>
      <c r="BT1818" s="4"/>
      <c r="BU1818" s="4"/>
      <c r="BV1818" s="4"/>
      <c r="BW1818" s="4"/>
      <c r="BX1818" s="4"/>
      <c r="BY1818" s="4"/>
      <c r="BZ1818" s="4"/>
      <c r="CA1818" s="4"/>
      <c r="CB1818" s="4"/>
      <c r="CC1818" s="4"/>
      <c r="CD1818" s="4"/>
      <c r="CE1818" s="4"/>
      <c r="CF1818" s="4"/>
      <c r="CG1818" s="4"/>
      <c r="CH1818" s="4"/>
      <c r="CI1818" s="4"/>
      <c r="CJ1818" s="4"/>
      <c r="CK1818" s="4"/>
      <c r="CL1818" s="4"/>
      <c r="CM1818" s="4"/>
      <c r="CN1818" s="4"/>
      <c r="CO1818" s="4"/>
      <c r="CP1818" s="4"/>
      <c r="CQ1818" s="4"/>
      <c r="CR1818" s="4"/>
      <c r="CS1818" s="4"/>
      <c r="CT1818" s="4"/>
    </row>
    <row r="1819" spans="1:98" x14ac:dyDescent="0.25">
      <c r="A1819" s="2" t="s">
        <v>15</v>
      </c>
      <c r="B1819" s="2" t="str">
        <f>"FES1162769670"</f>
        <v>FES1162769670</v>
      </c>
      <c r="C1819" s="2" t="s">
        <v>1266</v>
      </c>
      <c r="D1819" s="2">
        <v>1</v>
      </c>
      <c r="E1819" s="2" t="str">
        <f>"2170756777"</f>
        <v>2170756777</v>
      </c>
      <c r="F1819" s="2" t="s">
        <v>17</v>
      </c>
      <c r="G1819" s="2" t="s">
        <v>18</v>
      </c>
      <c r="H1819" s="2" t="s">
        <v>18</v>
      </c>
      <c r="I1819" s="2" t="s">
        <v>46</v>
      </c>
      <c r="J1819" s="2" t="s">
        <v>168</v>
      </c>
      <c r="K1819" s="2" t="s">
        <v>1353</v>
      </c>
      <c r="L1819" s="3">
        <v>0.40277777777777773</v>
      </c>
      <c r="M1819" s="2" t="s">
        <v>1478</v>
      </c>
      <c r="N1819" s="2" t="s">
        <v>500</v>
      </c>
      <c r="O1819" s="5"/>
      <c r="P1819" s="4"/>
      <c r="Q1819" s="4"/>
      <c r="R1819" s="4"/>
      <c r="S1819" s="4"/>
      <c r="T1819" s="4"/>
      <c r="U1819" s="4"/>
      <c r="V1819" s="4"/>
      <c r="W1819" s="4"/>
      <c r="X1819" s="4"/>
      <c r="Y1819" s="4"/>
      <c r="Z1819" s="4"/>
      <c r="AA1819" s="4"/>
      <c r="AB1819" s="4"/>
      <c r="AC1819" s="4"/>
      <c r="AD1819" s="4"/>
      <c r="AE1819" s="4"/>
      <c r="AF1819" s="4"/>
      <c r="AG1819" s="4"/>
      <c r="AH1819" s="4"/>
      <c r="AI1819" s="4"/>
      <c r="AJ1819" s="4"/>
      <c r="AK1819" s="4"/>
      <c r="AL1819" s="4"/>
      <c r="AM1819" s="4"/>
      <c r="AN1819" s="4"/>
      <c r="AO1819" s="4"/>
      <c r="AP1819" s="4"/>
      <c r="AQ1819" s="4"/>
      <c r="AR1819" s="4"/>
      <c r="AS1819" s="4"/>
      <c r="AT1819" s="4"/>
      <c r="AU1819" s="4"/>
      <c r="AV1819" s="4"/>
      <c r="AW1819" s="4"/>
      <c r="AX1819" s="4"/>
      <c r="AY1819" s="4"/>
      <c r="AZ1819" s="4"/>
      <c r="BA1819" s="4"/>
      <c r="BB1819" s="4"/>
      <c r="BC1819" s="4"/>
      <c r="BD1819" s="4"/>
      <c r="BE1819" s="4"/>
      <c r="BF1819" s="4"/>
      <c r="BG1819" s="4"/>
      <c r="BH1819" s="4"/>
      <c r="BI1819" s="4"/>
      <c r="BJ1819" s="4"/>
      <c r="BK1819" s="4"/>
      <c r="BL1819" s="4"/>
      <c r="BM1819" s="4"/>
      <c r="BN1819" s="4"/>
      <c r="BO1819" s="4"/>
      <c r="BP1819" s="4"/>
      <c r="BQ1819" s="4"/>
      <c r="BR1819" s="4"/>
      <c r="BS1819" s="4"/>
      <c r="BT1819" s="4"/>
      <c r="BU1819" s="4"/>
      <c r="BV1819" s="4"/>
      <c r="BW1819" s="4"/>
      <c r="BX1819" s="4"/>
      <c r="BY1819" s="4"/>
      <c r="BZ1819" s="4"/>
      <c r="CA1819" s="4"/>
      <c r="CB1819" s="4"/>
      <c r="CC1819" s="4"/>
      <c r="CD1819" s="4"/>
      <c r="CE1819" s="4"/>
      <c r="CF1819" s="4"/>
      <c r="CG1819" s="4"/>
      <c r="CH1819" s="4"/>
      <c r="CI1819" s="4"/>
      <c r="CJ1819" s="4"/>
      <c r="CK1819" s="4"/>
      <c r="CL1819" s="4"/>
      <c r="CM1819" s="4"/>
      <c r="CN1819" s="4"/>
      <c r="CO1819" s="4"/>
      <c r="CP1819" s="4"/>
      <c r="CQ1819" s="4"/>
      <c r="CR1819" s="4"/>
      <c r="CS1819" s="4"/>
      <c r="CT1819" s="4"/>
    </row>
    <row r="1820" spans="1:98" x14ac:dyDescent="0.25">
      <c r="A1820" s="2" t="s">
        <v>15</v>
      </c>
      <c r="B1820" s="2" t="str">
        <f>"FES1162769666"</f>
        <v>FES1162769666</v>
      </c>
      <c r="C1820" s="2" t="s">
        <v>1266</v>
      </c>
      <c r="D1820" s="2">
        <v>1</v>
      </c>
      <c r="E1820" s="2" t="str">
        <f>"2170756769"</f>
        <v>2170756769</v>
      </c>
      <c r="F1820" s="2" t="s">
        <v>17</v>
      </c>
      <c r="G1820" s="2" t="s">
        <v>18</v>
      </c>
      <c r="H1820" s="2" t="s">
        <v>18</v>
      </c>
      <c r="I1820" s="2" t="s">
        <v>52</v>
      </c>
      <c r="J1820" s="2" t="s">
        <v>1403</v>
      </c>
      <c r="K1820" s="2" t="s">
        <v>1353</v>
      </c>
      <c r="L1820" s="3">
        <v>0.55763888888888891</v>
      </c>
      <c r="M1820" s="2" t="s">
        <v>1479</v>
      </c>
      <c r="N1820" s="2" t="s">
        <v>500</v>
      </c>
      <c r="O1820" s="5"/>
      <c r="P1820" s="4"/>
      <c r="Q1820" s="4"/>
      <c r="R1820" s="4"/>
      <c r="S1820" s="4"/>
      <c r="T1820" s="4"/>
      <c r="U1820" s="4"/>
      <c r="V1820" s="4"/>
      <c r="W1820" s="4"/>
      <c r="X1820" s="4"/>
      <c r="Y1820" s="4"/>
      <c r="Z1820" s="4"/>
      <c r="AA1820" s="4"/>
      <c r="AB1820" s="4"/>
      <c r="AC1820" s="4"/>
      <c r="AD1820" s="4"/>
      <c r="AE1820" s="4"/>
      <c r="AF1820" s="4"/>
      <c r="AG1820" s="4"/>
      <c r="AH1820" s="4"/>
      <c r="AI1820" s="4"/>
      <c r="AJ1820" s="4"/>
      <c r="AK1820" s="4"/>
      <c r="AL1820" s="4"/>
      <c r="AM1820" s="4"/>
      <c r="AN1820" s="4"/>
      <c r="AO1820" s="4"/>
      <c r="AP1820" s="4"/>
      <c r="AQ1820" s="4"/>
      <c r="AR1820" s="4"/>
      <c r="AS1820" s="4"/>
      <c r="AT1820" s="4"/>
      <c r="AU1820" s="4"/>
      <c r="AV1820" s="4"/>
      <c r="AW1820" s="4"/>
      <c r="AX1820" s="4"/>
      <c r="AY1820" s="4"/>
      <c r="AZ1820" s="4"/>
      <c r="BA1820" s="4"/>
      <c r="BB1820" s="4"/>
      <c r="BC1820" s="4"/>
      <c r="BD1820" s="4"/>
      <c r="BE1820" s="4"/>
      <c r="BF1820" s="4"/>
      <c r="BG1820" s="4"/>
      <c r="BH1820" s="4"/>
      <c r="BI1820" s="4"/>
      <c r="BJ1820" s="4"/>
      <c r="BK1820" s="4"/>
      <c r="BL1820" s="4"/>
      <c r="BM1820" s="4"/>
      <c r="BN1820" s="4"/>
      <c r="BO1820" s="4"/>
      <c r="BP1820" s="4"/>
      <c r="BQ1820" s="4"/>
      <c r="BR1820" s="4"/>
      <c r="BS1820" s="4"/>
      <c r="BT1820" s="4"/>
      <c r="BU1820" s="4"/>
      <c r="BV1820" s="4"/>
      <c r="BW1820" s="4"/>
      <c r="BX1820" s="4"/>
      <c r="BY1820" s="4"/>
      <c r="BZ1820" s="4"/>
      <c r="CA1820" s="4"/>
      <c r="CB1820" s="4"/>
      <c r="CC1820" s="4"/>
      <c r="CD1820" s="4"/>
      <c r="CE1820" s="4"/>
      <c r="CF1820" s="4"/>
      <c r="CG1820" s="4"/>
      <c r="CH1820" s="4"/>
      <c r="CI1820" s="4"/>
      <c r="CJ1820" s="4"/>
      <c r="CK1820" s="4"/>
      <c r="CL1820" s="4"/>
      <c r="CM1820" s="4"/>
      <c r="CN1820" s="4"/>
      <c r="CO1820" s="4"/>
      <c r="CP1820" s="4"/>
      <c r="CQ1820" s="4"/>
      <c r="CR1820" s="4"/>
      <c r="CS1820" s="4"/>
      <c r="CT1820" s="4"/>
    </row>
    <row r="1821" spans="1:98" x14ac:dyDescent="0.25">
      <c r="A1821" s="2" t="s">
        <v>15</v>
      </c>
      <c r="B1821" s="2" t="str">
        <f>"FES1162769616"</f>
        <v>FES1162769616</v>
      </c>
      <c r="C1821" s="2" t="s">
        <v>1266</v>
      </c>
      <c r="D1821" s="2">
        <v>1</v>
      </c>
      <c r="E1821" s="2" t="str">
        <f>"2170756686"</f>
        <v>2170756686</v>
      </c>
      <c r="F1821" s="2" t="s">
        <v>17</v>
      </c>
      <c r="G1821" s="2" t="s">
        <v>18</v>
      </c>
      <c r="H1821" s="2" t="s">
        <v>33</v>
      </c>
      <c r="I1821" s="2" t="s">
        <v>34</v>
      </c>
      <c r="J1821" s="2" t="s">
        <v>783</v>
      </c>
      <c r="K1821" s="2" t="s">
        <v>1353</v>
      </c>
      <c r="L1821" s="3">
        <v>0.43333333333333335</v>
      </c>
      <c r="M1821" s="2" t="s">
        <v>1480</v>
      </c>
      <c r="N1821" s="2" t="s">
        <v>500</v>
      </c>
      <c r="O1821" s="5"/>
      <c r="P1821" s="4"/>
      <c r="Q1821" s="4"/>
      <c r="R1821" s="4"/>
      <c r="S1821" s="4"/>
      <c r="T1821" s="4"/>
      <c r="U1821" s="4"/>
      <c r="V1821" s="4"/>
      <c r="W1821" s="4"/>
      <c r="X1821" s="4"/>
      <c r="Y1821" s="4"/>
      <c r="Z1821" s="4"/>
      <c r="AA1821" s="4"/>
      <c r="AB1821" s="4"/>
      <c r="AC1821" s="4"/>
      <c r="AD1821" s="4"/>
      <c r="AE1821" s="4"/>
      <c r="AF1821" s="4"/>
      <c r="AG1821" s="4"/>
      <c r="AH1821" s="4"/>
      <c r="AI1821" s="4"/>
      <c r="AJ1821" s="4"/>
      <c r="AK1821" s="4"/>
      <c r="AL1821" s="4"/>
      <c r="AM1821" s="4"/>
      <c r="AN1821" s="4"/>
      <c r="AO1821" s="4"/>
      <c r="AP1821" s="4"/>
      <c r="AQ1821" s="4"/>
      <c r="AR1821" s="4"/>
      <c r="AS1821" s="4"/>
      <c r="AT1821" s="4"/>
      <c r="AU1821" s="4"/>
      <c r="AV1821" s="4"/>
      <c r="AW1821" s="4"/>
      <c r="AX1821" s="4"/>
      <c r="AY1821" s="4"/>
      <c r="AZ1821" s="4"/>
      <c r="BA1821" s="4"/>
      <c r="BB1821" s="4"/>
      <c r="BC1821" s="4"/>
      <c r="BD1821" s="4"/>
      <c r="BE1821" s="4"/>
      <c r="BF1821" s="4"/>
      <c r="BG1821" s="4"/>
      <c r="BH1821" s="4"/>
      <c r="BI1821" s="4"/>
      <c r="BJ1821" s="4"/>
      <c r="BK1821" s="4"/>
      <c r="BL1821" s="4"/>
      <c r="BM1821" s="4"/>
      <c r="BN1821" s="4"/>
      <c r="BO1821" s="4"/>
      <c r="BP1821" s="4"/>
      <c r="BQ1821" s="4"/>
      <c r="BR1821" s="4"/>
      <c r="BS1821" s="4"/>
      <c r="BT1821" s="4"/>
      <c r="BU1821" s="4"/>
      <c r="BV1821" s="4"/>
      <c r="BW1821" s="4"/>
      <c r="BX1821" s="4"/>
      <c r="BY1821" s="4"/>
      <c r="BZ1821" s="4"/>
      <c r="CA1821" s="4"/>
      <c r="CB1821" s="4"/>
      <c r="CC1821" s="4"/>
      <c r="CD1821" s="4"/>
      <c r="CE1821" s="4"/>
      <c r="CF1821" s="4"/>
      <c r="CG1821" s="4"/>
      <c r="CH1821" s="4"/>
      <c r="CI1821" s="4"/>
      <c r="CJ1821" s="4"/>
      <c r="CK1821" s="4"/>
      <c r="CL1821" s="4"/>
      <c r="CM1821" s="4"/>
      <c r="CN1821" s="4"/>
      <c r="CO1821" s="4"/>
      <c r="CP1821" s="4"/>
      <c r="CQ1821" s="4"/>
      <c r="CR1821" s="4"/>
      <c r="CS1821" s="4"/>
      <c r="CT1821" s="4"/>
    </row>
    <row r="1822" spans="1:98" x14ac:dyDescent="0.25">
      <c r="A1822" s="2" t="s">
        <v>15</v>
      </c>
      <c r="B1822" s="2" t="str">
        <f>"FES1162769719"</f>
        <v>FES1162769719</v>
      </c>
      <c r="C1822" s="2" t="s">
        <v>1266</v>
      </c>
      <c r="D1822" s="2">
        <v>1</v>
      </c>
      <c r="E1822" s="2" t="str">
        <f>"2170756872"</f>
        <v>2170756872</v>
      </c>
      <c r="F1822" s="2" t="s">
        <v>17</v>
      </c>
      <c r="G1822" s="2" t="s">
        <v>18</v>
      </c>
      <c r="H1822" s="2" t="s">
        <v>18</v>
      </c>
      <c r="I1822" s="2" t="s">
        <v>46</v>
      </c>
      <c r="J1822" s="2" t="s">
        <v>115</v>
      </c>
      <c r="K1822" s="2" t="s">
        <v>1353</v>
      </c>
      <c r="L1822" s="3">
        <v>0.32500000000000001</v>
      </c>
      <c r="M1822" s="2" t="s">
        <v>829</v>
      </c>
      <c r="N1822" s="2" t="s">
        <v>500</v>
      </c>
      <c r="O1822" s="5"/>
      <c r="P1822" s="4"/>
      <c r="Q1822" s="4"/>
      <c r="R1822" s="4"/>
      <c r="S1822" s="4"/>
      <c r="T1822" s="4"/>
      <c r="U1822" s="4"/>
      <c r="V1822" s="4"/>
      <c r="W1822" s="4"/>
      <c r="X1822" s="4"/>
      <c r="Y1822" s="4"/>
      <c r="Z1822" s="4"/>
      <c r="AA1822" s="4"/>
      <c r="AB1822" s="4"/>
      <c r="AC1822" s="4"/>
      <c r="AD1822" s="4"/>
      <c r="AE1822" s="4"/>
      <c r="AF1822" s="4"/>
      <c r="AG1822" s="4"/>
      <c r="AH1822" s="4"/>
      <c r="AI1822" s="4"/>
      <c r="AJ1822" s="4"/>
      <c r="AK1822" s="4"/>
      <c r="AL1822" s="4"/>
      <c r="AM1822" s="4"/>
      <c r="AN1822" s="4"/>
      <c r="AO1822" s="4"/>
      <c r="AP1822" s="4"/>
      <c r="AQ1822" s="4"/>
      <c r="AR1822" s="4"/>
      <c r="AS1822" s="4"/>
      <c r="AT1822" s="4"/>
      <c r="AU1822" s="4"/>
      <c r="AV1822" s="4"/>
      <c r="AW1822" s="4"/>
      <c r="AX1822" s="4"/>
      <c r="AY1822" s="4"/>
      <c r="AZ1822" s="4"/>
      <c r="BA1822" s="4"/>
      <c r="BB1822" s="4"/>
      <c r="BC1822" s="4"/>
      <c r="BD1822" s="4"/>
      <c r="BE1822" s="4"/>
      <c r="BF1822" s="4"/>
      <c r="BG1822" s="4"/>
      <c r="BH1822" s="4"/>
      <c r="BI1822" s="4"/>
      <c r="BJ1822" s="4"/>
      <c r="BK1822" s="4"/>
      <c r="BL1822" s="4"/>
      <c r="BM1822" s="4"/>
      <c r="BN1822" s="4"/>
      <c r="BO1822" s="4"/>
      <c r="BP1822" s="4"/>
      <c r="BQ1822" s="4"/>
      <c r="BR1822" s="4"/>
      <c r="BS1822" s="4"/>
      <c r="BT1822" s="4"/>
      <c r="BU1822" s="4"/>
      <c r="BV1822" s="4"/>
      <c r="BW1822" s="4"/>
      <c r="BX1822" s="4"/>
      <c r="BY1822" s="4"/>
      <c r="BZ1822" s="4"/>
      <c r="CA1822" s="4"/>
      <c r="CB1822" s="4"/>
      <c r="CC1822" s="4"/>
      <c r="CD1822" s="4"/>
      <c r="CE1822" s="4"/>
      <c r="CF1822" s="4"/>
      <c r="CG1822" s="4"/>
      <c r="CH1822" s="4"/>
      <c r="CI1822" s="4"/>
      <c r="CJ1822" s="4"/>
      <c r="CK1822" s="4"/>
      <c r="CL1822" s="4"/>
      <c r="CM1822" s="4"/>
      <c r="CN1822" s="4"/>
      <c r="CO1822" s="4"/>
      <c r="CP1822" s="4"/>
      <c r="CQ1822" s="4"/>
      <c r="CR1822" s="4"/>
      <c r="CS1822" s="4"/>
      <c r="CT1822" s="4"/>
    </row>
    <row r="1823" spans="1:98" x14ac:dyDescent="0.25">
      <c r="A1823" s="2" t="s">
        <v>15</v>
      </c>
      <c r="B1823" s="2" t="str">
        <f>"FES1162769694"</f>
        <v>FES1162769694</v>
      </c>
      <c r="C1823" s="2" t="s">
        <v>1266</v>
      </c>
      <c r="D1823" s="2">
        <v>1</v>
      </c>
      <c r="E1823" s="2" t="str">
        <f>"2170756824"</f>
        <v>2170756824</v>
      </c>
      <c r="F1823" s="2" t="s">
        <v>17</v>
      </c>
      <c r="G1823" s="2" t="s">
        <v>18</v>
      </c>
      <c r="H1823" s="2" t="s">
        <v>18</v>
      </c>
      <c r="I1823" s="2" t="s">
        <v>163</v>
      </c>
      <c r="J1823" s="2" t="s">
        <v>1404</v>
      </c>
      <c r="K1823" s="2" t="s">
        <v>1353</v>
      </c>
      <c r="L1823" s="3">
        <v>0.37986111111111115</v>
      </c>
      <c r="M1823" s="2" t="s">
        <v>1481</v>
      </c>
      <c r="N1823" s="2" t="s">
        <v>500</v>
      </c>
      <c r="O1823" s="5"/>
      <c r="P1823" s="4"/>
      <c r="Q1823" s="4"/>
      <c r="R1823" s="4"/>
      <c r="S1823" s="4"/>
      <c r="T1823" s="4"/>
      <c r="U1823" s="4"/>
      <c r="V1823" s="4"/>
      <c r="W1823" s="4"/>
      <c r="X1823" s="4"/>
      <c r="Y1823" s="4"/>
      <c r="Z1823" s="4"/>
      <c r="AA1823" s="4"/>
      <c r="AB1823" s="4"/>
      <c r="AC1823" s="4"/>
      <c r="AD1823" s="4"/>
      <c r="AE1823" s="4"/>
      <c r="AF1823" s="4"/>
      <c r="AG1823" s="4"/>
      <c r="AH1823" s="4"/>
      <c r="AI1823" s="4"/>
      <c r="AJ1823" s="4"/>
      <c r="AK1823" s="4"/>
      <c r="AL1823" s="4"/>
      <c r="AM1823" s="4"/>
      <c r="AN1823" s="4"/>
      <c r="AO1823" s="4"/>
      <c r="AP1823" s="4"/>
      <c r="AQ1823" s="4"/>
      <c r="AR1823" s="4"/>
      <c r="AS1823" s="4"/>
      <c r="AT1823" s="4"/>
      <c r="AU1823" s="4"/>
      <c r="AV1823" s="4"/>
      <c r="AW1823" s="4"/>
      <c r="AX1823" s="4"/>
      <c r="AY1823" s="4"/>
      <c r="AZ1823" s="4"/>
      <c r="BA1823" s="4"/>
      <c r="BB1823" s="4"/>
      <c r="BC1823" s="4"/>
      <c r="BD1823" s="4"/>
      <c r="BE1823" s="4"/>
      <c r="BF1823" s="4"/>
      <c r="BG1823" s="4"/>
      <c r="BH1823" s="4"/>
      <c r="BI1823" s="4"/>
      <c r="BJ1823" s="4"/>
      <c r="BK1823" s="4"/>
      <c r="BL1823" s="4"/>
      <c r="BM1823" s="4"/>
      <c r="BN1823" s="4"/>
      <c r="BO1823" s="4"/>
      <c r="BP1823" s="4"/>
      <c r="BQ1823" s="4"/>
      <c r="BR1823" s="4"/>
      <c r="BS1823" s="4"/>
      <c r="BT1823" s="4"/>
      <c r="BU1823" s="4"/>
      <c r="BV1823" s="4"/>
      <c r="BW1823" s="4"/>
      <c r="BX1823" s="4"/>
      <c r="BY1823" s="4"/>
      <c r="BZ1823" s="4"/>
      <c r="CA1823" s="4"/>
      <c r="CB1823" s="4"/>
      <c r="CC1823" s="4"/>
      <c r="CD1823" s="4"/>
      <c r="CE1823" s="4"/>
      <c r="CF1823" s="4"/>
      <c r="CG1823" s="4"/>
      <c r="CH1823" s="4"/>
      <c r="CI1823" s="4"/>
      <c r="CJ1823" s="4"/>
      <c r="CK1823" s="4"/>
      <c r="CL1823" s="4"/>
      <c r="CM1823" s="4"/>
      <c r="CN1823" s="4"/>
      <c r="CO1823" s="4"/>
      <c r="CP1823" s="4"/>
      <c r="CQ1823" s="4"/>
      <c r="CR1823" s="4"/>
      <c r="CS1823" s="4"/>
      <c r="CT1823" s="4"/>
    </row>
    <row r="1824" spans="1:98" x14ac:dyDescent="0.25">
      <c r="A1824" s="2" t="s">
        <v>15</v>
      </c>
      <c r="B1824" s="2" t="str">
        <f>"FES1162769905"</f>
        <v>FES1162769905</v>
      </c>
      <c r="C1824" s="2" t="s">
        <v>1266</v>
      </c>
      <c r="D1824" s="2">
        <v>1</v>
      </c>
      <c r="E1824" s="2" t="str">
        <f>"2170756941"</f>
        <v>2170756941</v>
      </c>
      <c r="F1824" s="2" t="s">
        <v>17</v>
      </c>
      <c r="G1824" s="2" t="s">
        <v>18</v>
      </c>
      <c r="H1824" s="2" t="s">
        <v>88</v>
      </c>
      <c r="I1824" s="2" t="s">
        <v>109</v>
      </c>
      <c r="J1824" s="2" t="s">
        <v>66</v>
      </c>
      <c r="K1824" s="2" t="s">
        <v>1353</v>
      </c>
      <c r="L1824" s="3">
        <v>0.50694444444444442</v>
      </c>
      <c r="M1824" s="2" t="s">
        <v>969</v>
      </c>
      <c r="N1824" s="2" t="s">
        <v>500</v>
      </c>
      <c r="O1824" s="5"/>
      <c r="P1824" s="4"/>
      <c r="Q1824" s="4"/>
      <c r="R1824" s="4"/>
      <c r="S1824" s="4"/>
      <c r="T1824" s="4"/>
      <c r="U1824" s="4"/>
      <c r="V1824" s="4"/>
      <c r="W1824" s="4"/>
      <c r="X1824" s="4"/>
      <c r="Y1824" s="4"/>
      <c r="Z1824" s="4"/>
      <c r="AA1824" s="4"/>
      <c r="AB1824" s="4"/>
      <c r="AC1824" s="4"/>
      <c r="AD1824" s="4"/>
      <c r="AE1824" s="4"/>
      <c r="AF1824" s="4"/>
      <c r="AG1824" s="4"/>
      <c r="AH1824" s="4"/>
      <c r="AI1824" s="4"/>
      <c r="AJ1824" s="4"/>
      <c r="AK1824" s="4"/>
      <c r="AL1824" s="4"/>
      <c r="AM1824" s="4"/>
      <c r="AN1824" s="4"/>
      <c r="AO1824" s="4"/>
      <c r="AP1824" s="4"/>
      <c r="AQ1824" s="4"/>
      <c r="AR1824" s="4"/>
      <c r="AS1824" s="4"/>
      <c r="AT1824" s="4"/>
      <c r="AU1824" s="4"/>
      <c r="AV1824" s="4"/>
      <c r="AW1824" s="4"/>
      <c r="AX1824" s="4"/>
      <c r="AY1824" s="4"/>
      <c r="AZ1824" s="4"/>
      <c r="BA1824" s="4"/>
      <c r="BB1824" s="4"/>
      <c r="BC1824" s="4"/>
      <c r="BD1824" s="4"/>
      <c r="BE1824" s="4"/>
      <c r="BF1824" s="4"/>
      <c r="BG1824" s="4"/>
      <c r="BH1824" s="4"/>
      <c r="BI1824" s="4"/>
      <c r="BJ1824" s="4"/>
      <c r="BK1824" s="4"/>
      <c r="BL1824" s="4"/>
      <c r="BM1824" s="4"/>
      <c r="BN1824" s="4"/>
      <c r="BO1824" s="4"/>
      <c r="BP1824" s="4"/>
      <c r="BQ1824" s="4"/>
      <c r="BR1824" s="4"/>
      <c r="BS1824" s="4"/>
      <c r="BT1824" s="4"/>
      <c r="BU1824" s="4"/>
      <c r="BV1824" s="4"/>
      <c r="BW1824" s="4"/>
      <c r="BX1824" s="4"/>
      <c r="BY1824" s="4"/>
      <c r="BZ1824" s="4"/>
      <c r="CA1824" s="4"/>
      <c r="CB1824" s="4"/>
      <c r="CC1824" s="4"/>
      <c r="CD1824" s="4"/>
      <c r="CE1824" s="4"/>
      <c r="CF1824" s="4"/>
      <c r="CG1824" s="4"/>
      <c r="CH1824" s="4"/>
      <c r="CI1824" s="4"/>
      <c r="CJ1824" s="4"/>
      <c r="CK1824" s="4"/>
      <c r="CL1824" s="4"/>
      <c r="CM1824" s="4"/>
      <c r="CN1824" s="4"/>
      <c r="CO1824" s="4"/>
      <c r="CP1824" s="4"/>
      <c r="CQ1824" s="4"/>
      <c r="CR1824" s="4"/>
      <c r="CS1824" s="4"/>
      <c r="CT1824" s="4"/>
    </row>
    <row r="1825" spans="1:98" x14ac:dyDescent="0.25">
      <c r="A1825" s="2" t="s">
        <v>15</v>
      </c>
      <c r="B1825" s="2" t="str">
        <f>"FES1162769780"</f>
        <v>FES1162769780</v>
      </c>
      <c r="C1825" s="2" t="s">
        <v>1266</v>
      </c>
      <c r="D1825" s="2">
        <v>1</v>
      </c>
      <c r="E1825" s="2" t="str">
        <f>"2170757012"</f>
        <v>2170757012</v>
      </c>
      <c r="F1825" s="2" t="s">
        <v>17</v>
      </c>
      <c r="G1825" s="2" t="s">
        <v>18</v>
      </c>
      <c r="H1825" s="2" t="s">
        <v>18</v>
      </c>
      <c r="I1825" s="2" t="s">
        <v>50</v>
      </c>
      <c r="J1825" s="2" t="s">
        <v>787</v>
      </c>
      <c r="K1825" s="2" t="s">
        <v>1353</v>
      </c>
      <c r="L1825" s="3">
        <v>0.3840277777777778</v>
      </c>
      <c r="M1825" s="2" t="s">
        <v>1482</v>
      </c>
      <c r="N1825" s="2" t="s">
        <v>500</v>
      </c>
      <c r="O1825" s="5"/>
      <c r="P1825" s="4"/>
      <c r="Q1825" s="4"/>
      <c r="R1825" s="4"/>
      <c r="S1825" s="4"/>
      <c r="T1825" s="4"/>
      <c r="U1825" s="4"/>
      <c r="V1825" s="4"/>
      <c r="W1825" s="4"/>
      <c r="X1825" s="4"/>
      <c r="Y1825" s="4"/>
      <c r="Z1825" s="4"/>
      <c r="AA1825" s="4"/>
      <c r="AB1825" s="4"/>
      <c r="AC1825" s="4"/>
      <c r="AD1825" s="4"/>
      <c r="AE1825" s="4"/>
      <c r="AF1825" s="4"/>
      <c r="AG1825" s="4"/>
      <c r="AH1825" s="4"/>
      <c r="AI1825" s="4"/>
      <c r="AJ1825" s="4"/>
      <c r="AK1825" s="4"/>
      <c r="AL1825" s="4"/>
      <c r="AM1825" s="4"/>
      <c r="AN1825" s="4"/>
      <c r="AO1825" s="4"/>
      <c r="AP1825" s="4"/>
      <c r="AQ1825" s="4"/>
      <c r="AR1825" s="4"/>
      <c r="AS1825" s="4"/>
      <c r="AT1825" s="4"/>
      <c r="AU1825" s="4"/>
      <c r="AV1825" s="4"/>
      <c r="AW1825" s="4"/>
      <c r="AX1825" s="4"/>
      <c r="AY1825" s="4"/>
      <c r="AZ1825" s="4"/>
      <c r="BA1825" s="4"/>
      <c r="BB1825" s="4"/>
      <c r="BC1825" s="4"/>
      <c r="BD1825" s="4"/>
      <c r="BE1825" s="4"/>
      <c r="BF1825" s="4"/>
      <c r="BG1825" s="4"/>
      <c r="BH1825" s="4"/>
      <c r="BI1825" s="4"/>
      <c r="BJ1825" s="4"/>
      <c r="BK1825" s="4"/>
      <c r="BL1825" s="4"/>
      <c r="BM1825" s="4"/>
      <c r="BN1825" s="4"/>
      <c r="BO1825" s="4"/>
      <c r="BP1825" s="4"/>
      <c r="BQ1825" s="4"/>
      <c r="BR1825" s="4"/>
      <c r="BS1825" s="4"/>
      <c r="BT1825" s="4"/>
      <c r="BU1825" s="4"/>
      <c r="BV1825" s="4"/>
      <c r="BW1825" s="4"/>
      <c r="BX1825" s="4"/>
      <c r="BY1825" s="4"/>
      <c r="BZ1825" s="4"/>
      <c r="CA1825" s="4"/>
      <c r="CB1825" s="4"/>
      <c r="CC1825" s="4"/>
      <c r="CD1825" s="4"/>
      <c r="CE1825" s="4"/>
      <c r="CF1825" s="4"/>
      <c r="CG1825" s="4"/>
      <c r="CH1825" s="4"/>
      <c r="CI1825" s="4"/>
      <c r="CJ1825" s="4"/>
      <c r="CK1825" s="4"/>
      <c r="CL1825" s="4"/>
      <c r="CM1825" s="4"/>
      <c r="CN1825" s="4"/>
      <c r="CO1825" s="4"/>
      <c r="CP1825" s="4"/>
      <c r="CQ1825" s="4"/>
      <c r="CR1825" s="4"/>
      <c r="CS1825" s="4"/>
      <c r="CT1825" s="4"/>
    </row>
    <row r="1826" spans="1:98" x14ac:dyDescent="0.25">
      <c r="A1826" s="2" t="s">
        <v>15</v>
      </c>
      <c r="B1826" s="2" t="str">
        <f>"FES1162769724"</f>
        <v>FES1162769724</v>
      </c>
      <c r="C1826" s="2" t="s">
        <v>1266</v>
      </c>
      <c r="D1826" s="2">
        <v>1</v>
      </c>
      <c r="E1826" s="2" t="str">
        <f>"2170756887"</f>
        <v>2170756887</v>
      </c>
      <c r="F1826" s="2" t="s">
        <v>17</v>
      </c>
      <c r="G1826" s="2" t="s">
        <v>18</v>
      </c>
      <c r="H1826" s="2" t="s">
        <v>18</v>
      </c>
      <c r="I1826" s="2" t="s">
        <v>478</v>
      </c>
      <c r="J1826" s="2" t="s">
        <v>778</v>
      </c>
      <c r="K1826" s="2" t="s">
        <v>1353</v>
      </c>
      <c r="L1826" s="3">
        <v>0.35416666666666669</v>
      </c>
      <c r="M1826" s="2" t="s">
        <v>1483</v>
      </c>
      <c r="N1826" s="2" t="s">
        <v>500</v>
      </c>
      <c r="O1826" s="5"/>
      <c r="P1826" s="4"/>
      <c r="Q1826" s="4"/>
      <c r="R1826" s="4"/>
      <c r="S1826" s="4"/>
      <c r="T1826" s="4"/>
      <c r="U1826" s="4"/>
      <c r="V1826" s="4"/>
      <c r="W1826" s="4"/>
      <c r="X1826" s="4"/>
      <c r="Y1826" s="4"/>
      <c r="Z1826" s="4"/>
      <c r="AA1826" s="4"/>
      <c r="AB1826" s="4"/>
      <c r="AC1826" s="4"/>
      <c r="AD1826" s="4"/>
      <c r="AE1826" s="4"/>
      <c r="AF1826" s="4"/>
      <c r="AG1826" s="4"/>
      <c r="AH1826" s="4"/>
      <c r="AI1826" s="4"/>
      <c r="AJ1826" s="4"/>
      <c r="AK1826" s="4"/>
      <c r="AL1826" s="4"/>
      <c r="AM1826" s="4"/>
      <c r="AN1826" s="4"/>
      <c r="AO1826" s="4"/>
      <c r="AP1826" s="4"/>
      <c r="AQ1826" s="4"/>
      <c r="AR1826" s="4"/>
      <c r="AS1826" s="4"/>
      <c r="AT1826" s="4"/>
      <c r="AU1826" s="4"/>
      <c r="AV1826" s="4"/>
      <c r="AW1826" s="4"/>
      <c r="AX1826" s="4"/>
      <c r="AY1826" s="4"/>
      <c r="AZ1826" s="4"/>
      <c r="BA1826" s="4"/>
      <c r="BB1826" s="4"/>
      <c r="BC1826" s="4"/>
      <c r="BD1826" s="4"/>
      <c r="BE1826" s="4"/>
      <c r="BF1826" s="4"/>
      <c r="BG1826" s="4"/>
      <c r="BH1826" s="4"/>
      <c r="BI1826" s="4"/>
      <c r="BJ1826" s="4"/>
      <c r="BK1826" s="4"/>
      <c r="BL1826" s="4"/>
      <c r="BM1826" s="4"/>
      <c r="BN1826" s="4"/>
      <c r="BO1826" s="4"/>
      <c r="BP1826" s="4"/>
      <c r="BQ1826" s="4"/>
      <c r="BR1826" s="4"/>
      <c r="BS1826" s="4"/>
      <c r="BT1826" s="4"/>
      <c r="BU1826" s="4"/>
      <c r="BV1826" s="4"/>
      <c r="BW1826" s="4"/>
      <c r="BX1826" s="4"/>
      <c r="BY1826" s="4"/>
      <c r="BZ1826" s="4"/>
      <c r="CA1826" s="4"/>
      <c r="CB1826" s="4"/>
      <c r="CC1826" s="4"/>
      <c r="CD1826" s="4"/>
      <c r="CE1826" s="4"/>
      <c r="CF1826" s="4"/>
      <c r="CG1826" s="4"/>
      <c r="CH1826" s="4"/>
      <c r="CI1826" s="4"/>
      <c r="CJ1826" s="4"/>
      <c r="CK1826" s="4"/>
      <c r="CL1826" s="4"/>
      <c r="CM1826" s="4"/>
      <c r="CN1826" s="4"/>
      <c r="CO1826" s="4"/>
      <c r="CP1826" s="4"/>
      <c r="CQ1826" s="4"/>
      <c r="CR1826" s="4"/>
      <c r="CS1826" s="4"/>
      <c r="CT1826" s="4"/>
    </row>
    <row r="1827" spans="1:98" x14ac:dyDescent="0.25">
      <c r="A1827" s="2" t="s">
        <v>15</v>
      </c>
      <c r="B1827" s="2" t="str">
        <f>"FES1162769683"</f>
        <v>FES1162769683</v>
      </c>
      <c r="C1827" s="2" t="s">
        <v>1266</v>
      </c>
      <c r="D1827" s="2">
        <v>1</v>
      </c>
      <c r="E1827" s="2" t="str">
        <f>"2170756792"</f>
        <v>2170756792</v>
      </c>
      <c r="F1827" s="2" t="s">
        <v>17</v>
      </c>
      <c r="G1827" s="2" t="s">
        <v>18</v>
      </c>
      <c r="H1827" s="2" t="s">
        <v>18</v>
      </c>
      <c r="I1827" s="2" t="s">
        <v>57</v>
      </c>
      <c r="J1827" s="2" t="s">
        <v>1405</v>
      </c>
      <c r="K1827" s="2" t="s">
        <v>1353</v>
      </c>
      <c r="L1827" s="3">
        <v>0.32500000000000001</v>
      </c>
      <c r="M1827" s="2" t="s">
        <v>1484</v>
      </c>
      <c r="N1827" s="2" t="s">
        <v>500</v>
      </c>
      <c r="O1827" s="5"/>
      <c r="P1827" s="4"/>
      <c r="Q1827" s="4"/>
      <c r="R1827" s="4"/>
      <c r="S1827" s="4"/>
      <c r="T1827" s="4"/>
      <c r="U1827" s="4"/>
      <c r="V1827" s="4"/>
      <c r="W1827" s="4"/>
      <c r="X1827" s="4"/>
      <c r="Y1827" s="4"/>
      <c r="Z1827" s="4"/>
      <c r="AA1827" s="4"/>
      <c r="AB1827" s="4"/>
      <c r="AC1827" s="4"/>
      <c r="AD1827" s="4"/>
      <c r="AE1827" s="4"/>
      <c r="AF1827" s="4"/>
      <c r="AG1827" s="4"/>
      <c r="AH1827" s="4"/>
      <c r="AI1827" s="4"/>
      <c r="AJ1827" s="4"/>
      <c r="AK1827" s="4"/>
      <c r="AL1827" s="4"/>
      <c r="AM1827" s="4"/>
      <c r="AN1827" s="4"/>
      <c r="AO1827" s="4"/>
      <c r="AP1827" s="4"/>
      <c r="AQ1827" s="4"/>
      <c r="AR1827" s="4"/>
      <c r="AS1827" s="4"/>
      <c r="AT1827" s="4"/>
      <c r="AU1827" s="4"/>
      <c r="AV1827" s="4"/>
      <c r="AW1827" s="4"/>
      <c r="AX1827" s="4"/>
      <c r="AY1827" s="4"/>
      <c r="AZ1827" s="4"/>
      <c r="BA1827" s="4"/>
      <c r="BB1827" s="4"/>
      <c r="BC1827" s="4"/>
      <c r="BD1827" s="4"/>
      <c r="BE1827" s="4"/>
      <c r="BF1827" s="4"/>
      <c r="BG1827" s="4"/>
      <c r="BH1827" s="4"/>
      <c r="BI1827" s="4"/>
      <c r="BJ1827" s="4"/>
      <c r="BK1827" s="4"/>
      <c r="BL1827" s="4"/>
      <c r="BM1827" s="4"/>
      <c r="BN1827" s="4"/>
      <c r="BO1827" s="4"/>
      <c r="BP1827" s="4"/>
      <c r="BQ1827" s="4"/>
      <c r="BR1827" s="4"/>
      <c r="BS1827" s="4"/>
      <c r="BT1827" s="4"/>
      <c r="BU1827" s="4"/>
      <c r="BV1827" s="4"/>
      <c r="BW1827" s="4"/>
      <c r="BX1827" s="4"/>
      <c r="BY1827" s="4"/>
      <c r="BZ1827" s="4"/>
      <c r="CA1827" s="4"/>
      <c r="CB1827" s="4"/>
      <c r="CC1827" s="4"/>
      <c r="CD1827" s="4"/>
      <c r="CE1827" s="4"/>
      <c r="CF1827" s="4"/>
      <c r="CG1827" s="4"/>
      <c r="CH1827" s="4"/>
      <c r="CI1827" s="4"/>
      <c r="CJ1827" s="4"/>
      <c r="CK1827" s="4"/>
      <c r="CL1827" s="4"/>
      <c r="CM1827" s="4"/>
      <c r="CN1827" s="4"/>
      <c r="CO1827" s="4"/>
      <c r="CP1827" s="4"/>
      <c r="CQ1827" s="4"/>
      <c r="CR1827" s="4"/>
      <c r="CS1827" s="4"/>
      <c r="CT1827" s="4"/>
    </row>
    <row r="1828" spans="1:98" x14ac:dyDescent="0.25">
      <c r="A1828" s="14" t="s">
        <v>15</v>
      </c>
      <c r="B1828" s="14" t="str">
        <f>"FES1162769611"</f>
        <v>FES1162769611</v>
      </c>
      <c r="C1828" s="14" t="s">
        <v>1266</v>
      </c>
      <c r="D1828" s="14">
        <v>1</v>
      </c>
      <c r="E1828" s="14" t="str">
        <f>"2170756675"</f>
        <v>2170756675</v>
      </c>
      <c r="F1828" s="14" t="s">
        <v>17</v>
      </c>
      <c r="G1828" s="14" t="s">
        <v>18</v>
      </c>
      <c r="H1828" s="14" t="s">
        <v>19</v>
      </c>
      <c r="I1828" s="14" t="s">
        <v>20</v>
      </c>
      <c r="J1828" s="14" t="s">
        <v>606</v>
      </c>
      <c r="K1828" s="14" t="s">
        <v>1762</v>
      </c>
      <c r="L1828" s="14"/>
      <c r="M1828" s="14" t="s">
        <v>23</v>
      </c>
      <c r="N1828" s="14" t="s">
        <v>175</v>
      </c>
      <c r="O1828" s="14"/>
      <c r="P1828" s="4"/>
      <c r="Q1828" s="4"/>
      <c r="R1828" s="4"/>
      <c r="S1828" s="4"/>
      <c r="T1828" s="4"/>
      <c r="U1828" s="4"/>
      <c r="V1828" s="4"/>
      <c r="W1828" s="4"/>
      <c r="X1828" s="4"/>
      <c r="Y1828" s="4"/>
      <c r="Z1828" s="4"/>
      <c r="AA1828" s="4"/>
      <c r="AB1828" s="4"/>
      <c r="AC1828" s="4"/>
      <c r="AD1828" s="4"/>
      <c r="AE1828" s="4"/>
      <c r="AF1828" s="4"/>
      <c r="AG1828" s="4"/>
      <c r="AH1828" s="4"/>
      <c r="AI1828" s="4"/>
      <c r="AJ1828" s="4"/>
      <c r="AK1828" s="4"/>
      <c r="AL1828" s="4"/>
      <c r="AM1828" s="4"/>
      <c r="AN1828" s="4"/>
      <c r="AO1828" s="4"/>
      <c r="AP1828" s="4"/>
      <c r="AQ1828" s="4"/>
      <c r="AR1828" s="4"/>
      <c r="AS1828" s="4"/>
      <c r="AT1828" s="4"/>
      <c r="AU1828" s="4"/>
      <c r="AV1828" s="4"/>
      <c r="AW1828" s="4"/>
      <c r="AX1828" s="4"/>
      <c r="AY1828" s="4"/>
      <c r="AZ1828" s="4"/>
      <c r="BA1828" s="4"/>
      <c r="BB1828" s="4"/>
      <c r="BC1828" s="4"/>
      <c r="BD1828" s="4"/>
      <c r="BE1828" s="4"/>
      <c r="BF1828" s="4"/>
      <c r="BG1828" s="4"/>
      <c r="BH1828" s="4"/>
      <c r="BI1828" s="4"/>
      <c r="BJ1828" s="4"/>
      <c r="BK1828" s="4"/>
      <c r="BL1828" s="4"/>
      <c r="BM1828" s="4"/>
      <c r="BN1828" s="4"/>
      <c r="BO1828" s="4"/>
      <c r="BP1828" s="4"/>
      <c r="BQ1828" s="4"/>
      <c r="BR1828" s="4"/>
      <c r="BS1828" s="4"/>
      <c r="BT1828" s="4"/>
      <c r="BU1828" s="4"/>
      <c r="BV1828" s="4"/>
      <c r="BW1828" s="4"/>
      <c r="BX1828" s="4"/>
      <c r="BY1828" s="4"/>
      <c r="BZ1828" s="4"/>
      <c r="CA1828" s="4"/>
      <c r="CB1828" s="4"/>
      <c r="CC1828" s="4"/>
      <c r="CD1828" s="4"/>
      <c r="CE1828" s="4"/>
      <c r="CF1828" s="4"/>
      <c r="CG1828" s="4"/>
      <c r="CH1828" s="4"/>
      <c r="CI1828" s="4"/>
      <c r="CJ1828" s="4"/>
      <c r="CK1828" s="4"/>
      <c r="CL1828" s="4"/>
      <c r="CM1828" s="4"/>
      <c r="CN1828" s="4"/>
      <c r="CO1828" s="4"/>
      <c r="CP1828" s="4"/>
      <c r="CQ1828" s="4"/>
      <c r="CR1828" s="4"/>
      <c r="CS1828" s="4"/>
      <c r="CT1828" s="4"/>
    </row>
    <row r="1829" spans="1:98" x14ac:dyDescent="0.25">
      <c r="A1829" s="2" t="s">
        <v>15</v>
      </c>
      <c r="B1829" s="2" t="str">
        <f>"FES1162769626"</f>
        <v>FES1162769626</v>
      </c>
      <c r="C1829" s="2" t="s">
        <v>1266</v>
      </c>
      <c r="D1829" s="2">
        <v>1</v>
      </c>
      <c r="E1829" s="2" t="str">
        <f>"2170756703"</f>
        <v>2170756703</v>
      </c>
      <c r="F1829" s="2" t="s">
        <v>17</v>
      </c>
      <c r="G1829" s="2" t="s">
        <v>18</v>
      </c>
      <c r="H1829" s="2" t="s">
        <v>18</v>
      </c>
      <c r="I1829" s="2" t="s">
        <v>63</v>
      </c>
      <c r="J1829" s="2" t="s">
        <v>93</v>
      </c>
      <c r="K1829" s="2" t="s">
        <v>1353</v>
      </c>
      <c r="L1829" s="3">
        <v>0.34583333333333338</v>
      </c>
      <c r="M1829" s="2" t="s">
        <v>736</v>
      </c>
      <c r="N1829" s="2" t="s">
        <v>500</v>
      </c>
      <c r="O1829" s="5"/>
      <c r="P1829" s="4"/>
      <c r="Q1829" s="4"/>
      <c r="R1829" s="4"/>
      <c r="S1829" s="4"/>
      <c r="T1829" s="4"/>
      <c r="U1829" s="4"/>
      <c r="V1829" s="4"/>
      <c r="W1829" s="4"/>
      <c r="X1829" s="4"/>
      <c r="Y1829" s="4"/>
      <c r="Z1829" s="4"/>
      <c r="AA1829" s="4"/>
      <c r="AB1829" s="4"/>
      <c r="AC1829" s="4"/>
      <c r="AD1829" s="4"/>
      <c r="AE1829" s="4"/>
      <c r="AF1829" s="4"/>
      <c r="AG1829" s="4"/>
      <c r="AH1829" s="4"/>
      <c r="AI1829" s="4"/>
      <c r="AJ1829" s="4"/>
      <c r="AK1829" s="4"/>
      <c r="AL1829" s="4"/>
      <c r="AM1829" s="4"/>
      <c r="AN1829" s="4"/>
      <c r="AO1829" s="4"/>
      <c r="AP1829" s="4"/>
      <c r="AQ1829" s="4"/>
      <c r="AR1829" s="4"/>
      <c r="AS1829" s="4"/>
      <c r="AT1829" s="4"/>
      <c r="AU1829" s="4"/>
      <c r="AV1829" s="4"/>
      <c r="AW1829" s="4"/>
      <c r="AX1829" s="4"/>
      <c r="AY1829" s="4"/>
      <c r="AZ1829" s="4"/>
      <c r="BA1829" s="4"/>
      <c r="BB1829" s="4"/>
      <c r="BC1829" s="4"/>
      <c r="BD1829" s="4"/>
      <c r="BE1829" s="4"/>
      <c r="BF1829" s="4"/>
      <c r="BG1829" s="4"/>
      <c r="BH1829" s="4"/>
      <c r="BI1829" s="4"/>
      <c r="BJ1829" s="4"/>
      <c r="BK1829" s="4"/>
      <c r="BL1829" s="4"/>
      <c r="BM1829" s="4"/>
      <c r="BN1829" s="4"/>
      <c r="BO1829" s="4"/>
      <c r="BP1829" s="4"/>
      <c r="BQ1829" s="4"/>
      <c r="BR1829" s="4"/>
      <c r="BS1829" s="4"/>
      <c r="BT1829" s="4"/>
      <c r="BU1829" s="4"/>
      <c r="BV1829" s="4"/>
      <c r="BW1829" s="4"/>
      <c r="BX1829" s="4"/>
      <c r="BY1829" s="4"/>
      <c r="BZ1829" s="4"/>
      <c r="CA1829" s="4"/>
      <c r="CB1829" s="4"/>
      <c r="CC1829" s="4"/>
      <c r="CD1829" s="4"/>
      <c r="CE1829" s="4"/>
      <c r="CF1829" s="4"/>
      <c r="CG1829" s="4"/>
      <c r="CH1829" s="4"/>
      <c r="CI1829" s="4"/>
      <c r="CJ1829" s="4"/>
      <c r="CK1829" s="4"/>
      <c r="CL1829" s="4"/>
      <c r="CM1829" s="4"/>
      <c r="CN1829" s="4"/>
      <c r="CO1829" s="4"/>
      <c r="CP1829" s="4"/>
      <c r="CQ1829" s="4"/>
      <c r="CR1829" s="4"/>
      <c r="CS1829" s="4"/>
      <c r="CT1829" s="4"/>
    </row>
    <row r="1830" spans="1:98" x14ac:dyDescent="0.25">
      <c r="A1830" s="2" t="s">
        <v>15</v>
      </c>
      <c r="B1830" s="2" t="str">
        <f>"FES1162769628"</f>
        <v>FES1162769628</v>
      </c>
      <c r="C1830" s="2" t="s">
        <v>1266</v>
      </c>
      <c r="D1830" s="2">
        <v>1</v>
      </c>
      <c r="E1830" s="2" t="str">
        <f>"2170756705"</f>
        <v>2170756705</v>
      </c>
      <c r="F1830" s="2" t="s">
        <v>17</v>
      </c>
      <c r="G1830" s="2" t="s">
        <v>18</v>
      </c>
      <c r="H1830" s="2" t="s">
        <v>25</v>
      </c>
      <c r="I1830" s="2" t="s">
        <v>26</v>
      </c>
      <c r="J1830" s="2" t="s">
        <v>70</v>
      </c>
      <c r="K1830" s="2" t="s">
        <v>1353</v>
      </c>
      <c r="L1830" s="3">
        <v>0.52986111111111112</v>
      </c>
      <c r="M1830" s="2" t="s">
        <v>1485</v>
      </c>
      <c r="N1830" s="2" t="s">
        <v>500</v>
      </c>
      <c r="O1830" s="5"/>
      <c r="P1830" s="4"/>
      <c r="Q1830" s="4"/>
      <c r="R1830" s="4"/>
      <c r="S1830" s="4"/>
      <c r="T1830" s="4"/>
      <c r="U1830" s="4"/>
      <c r="V1830" s="4"/>
      <c r="W1830" s="4"/>
      <c r="X1830" s="4"/>
      <c r="Y1830" s="4"/>
      <c r="Z1830" s="4"/>
      <c r="AA1830" s="4"/>
      <c r="AB1830" s="4"/>
      <c r="AC1830" s="4"/>
      <c r="AD1830" s="4"/>
      <c r="AE1830" s="4"/>
      <c r="AF1830" s="4"/>
      <c r="AG1830" s="4"/>
      <c r="AH1830" s="4"/>
      <c r="AI1830" s="4"/>
      <c r="AJ1830" s="4"/>
      <c r="AK1830" s="4"/>
      <c r="AL1830" s="4"/>
      <c r="AM1830" s="4"/>
      <c r="AN1830" s="4"/>
      <c r="AO1830" s="4"/>
      <c r="AP1830" s="4"/>
      <c r="AQ1830" s="4"/>
      <c r="AR1830" s="4"/>
      <c r="AS1830" s="4"/>
      <c r="AT1830" s="4"/>
      <c r="AU1830" s="4"/>
      <c r="AV1830" s="4"/>
      <c r="AW1830" s="4"/>
      <c r="AX1830" s="4"/>
      <c r="AY1830" s="4"/>
      <c r="AZ1830" s="4"/>
      <c r="BA1830" s="4"/>
      <c r="BB1830" s="4"/>
      <c r="BC1830" s="4"/>
      <c r="BD1830" s="4"/>
      <c r="BE1830" s="4"/>
      <c r="BF1830" s="4"/>
      <c r="BG1830" s="4"/>
      <c r="BH1830" s="4"/>
      <c r="BI1830" s="4"/>
      <c r="BJ1830" s="4"/>
      <c r="BK1830" s="4"/>
      <c r="BL1830" s="4"/>
      <c r="BM1830" s="4"/>
      <c r="BN1830" s="4"/>
      <c r="BO1830" s="4"/>
      <c r="BP1830" s="4"/>
      <c r="BQ1830" s="4"/>
      <c r="BR1830" s="4"/>
      <c r="BS1830" s="4"/>
      <c r="BT1830" s="4"/>
      <c r="BU1830" s="4"/>
      <c r="BV1830" s="4"/>
      <c r="BW1830" s="4"/>
      <c r="BX1830" s="4"/>
      <c r="BY1830" s="4"/>
      <c r="BZ1830" s="4"/>
      <c r="CA1830" s="4"/>
      <c r="CB1830" s="4"/>
      <c r="CC1830" s="4"/>
      <c r="CD1830" s="4"/>
      <c r="CE1830" s="4"/>
      <c r="CF1830" s="4"/>
      <c r="CG1830" s="4"/>
      <c r="CH1830" s="4"/>
      <c r="CI1830" s="4"/>
      <c r="CJ1830" s="4"/>
      <c r="CK1830" s="4"/>
      <c r="CL1830" s="4"/>
      <c r="CM1830" s="4"/>
      <c r="CN1830" s="4"/>
      <c r="CO1830" s="4"/>
      <c r="CP1830" s="4"/>
      <c r="CQ1830" s="4"/>
      <c r="CR1830" s="4"/>
      <c r="CS1830" s="4"/>
      <c r="CT1830" s="4"/>
    </row>
    <row r="1831" spans="1:98" x14ac:dyDescent="0.25">
      <c r="A1831" s="2" t="s">
        <v>15</v>
      </c>
      <c r="B1831" s="2" t="str">
        <f>"FES1162769657"</f>
        <v>FES1162769657</v>
      </c>
      <c r="C1831" s="2" t="s">
        <v>1266</v>
      </c>
      <c r="D1831" s="2">
        <v>1</v>
      </c>
      <c r="E1831" s="2" t="str">
        <f>"2170756750"</f>
        <v>2170756750</v>
      </c>
      <c r="F1831" s="2" t="s">
        <v>17</v>
      </c>
      <c r="G1831" s="2" t="s">
        <v>18</v>
      </c>
      <c r="H1831" s="2" t="s">
        <v>18</v>
      </c>
      <c r="I1831" s="2" t="s">
        <v>95</v>
      </c>
      <c r="J1831" s="2" t="s">
        <v>1305</v>
      </c>
      <c r="K1831" s="2" t="s">
        <v>1353</v>
      </c>
      <c r="L1831" s="3">
        <v>0.41666666666666669</v>
      </c>
      <c r="M1831" s="2" t="s">
        <v>1365</v>
      </c>
      <c r="N1831" s="2" t="s">
        <v>500</v>
      </c>
      <c r="O1831" s="5"/>
      <c r="P1831" s="4"/>
      <c r="Q1831" s="4"/>
      <c r="R1831" s="4"/>
      <c r="S1831" s="4"/>
      <c r="T1831" s="4"/>
      <c r="U1831" s="4"/>
      <c r="V1831" s="4"/>
      <c r="W1831" s="4"/>
      <c r="X1831" s="4"/>
      <c r="Y1831" s="4"/>
      <c r="Z1831" s="4"/>
      <c r="AA1831" s="4"/>
      <c r="AB1831" s="4"/>
      <c r="AC1831" s="4"/>
      <c r="AD1831" s="4"/>
      <c r="AE1831" s="4"/>
      <c r="AF1831" s="4"/>
      <c r="AG1831" s="4"/>
      <c r="AH1831" s="4"/>
      <c r="AI1831" s="4"/>
      <c r="AJ1831" s="4"/>
      <c r="AK1831" s="4"/>
      <c r="AL1831" s="4"/>
      <c r="AM1831" s="4"/>
      <c r="AN1831" s="4"/>
      <c r="AO1831" s="4"/>
      <c r="AP1831" s="4"/>
      <c r="AQ1831" s="4"/>
      <c r="AR1831" s="4"/>
      <c r="AS1831" s="4"/>
      <c r="AT1831" s="4"/>
      <c r="AU1831" s="4"/>
      <c r="AV1831" s="4"/>
      <c r="AW1831" s="4"/>
      <c r="AX1831" s="4"/>
      <c r="AY1831" s="4"/>
      <c r="AZ1831" s="4"/>
      <c r="BA1831" s="4"/>
      <c r="BB1831" s="4"/>
      <c r="BC1831" s="4"/>
      <c r="BD1831" s="4"/>
      <c r="BE1831" s="4"/>
      <c r="BF1831" s="4"/>
      <c r="BG1831" s="4"/>
      <c r="BH1831" s="4"/>
      <c r="BI1831" s="4"/>
      <c r="BJ1831" s="4"/>
      <c r="BK1831" s="4"/>
      <c r="BL1831" s="4"/>
      <c r="BM1831" s="4"/>
      <c r="BN1831" s="4"/>
      <c r="BO1831" s="4"/>
      <c r="BP1831" s="4"/>
      <c r="BQ1831" s="4"/>
      <c r="BR1831" s="4"/>
      <c r="BS1831" s="4"/>
      <c r="BT1831" s="4"/>
      <c r="BU1831" s="4"/>
      <c r="BV1831" s="4"/>
      <c r="BW1831" s="4"/>
      <c r="BX1831" s="4"/>
      <c r="BY1831" s="4"/>
      <c r="BZ1831" s="4"/>
      <c r="CA1831" s="4"/>
      <c r="CB1831" s="4"/>
      <c r="CC1831" s="4"/>
      <c r="CD1831" s="4"/>
      <c r="CE1831" s="4"/>
      <c r="CF1831" s="4"/>
      <c r="CG1831" s="4"/>
      <c r="CH1831" s="4"/>
      <c r="CI1831" s="4"/>
      <c r="CJ1831" s="4"/>
      <c r="CK1831" s="4"/>
      <c r="CL1831" s="4"/>
      <c r="CM1831" s="4"/>
      <c r="CN1831" s="4"/>
      <c r="CO1831" s="4"/>
      <c r="CP1831" s="4"/>
      <c r="CQ1831" s="4"/>
      <c r="CR1831" s="4"/>
      <c r="CS1831" s="4"/>
      <c r="CT1831" s="4"/>
    </row>
    <row r="1832" spans="1:98" x14ac:dyDescent="0.25">
      <c r="A1832" s="2" t="s">
        <v>15</v>
      </c>
      <c r="B1832" s="2" t="str">
        <f>"FES1162769853"</f>
        <v>FES1162769853</v>
      </c>
      <c r="C1832" s="2" t="s">
        <v>1266</v>
      </c>
      <c r="D1832" s="2">
        <v>1</v>
      </c>
      <c r="E1832" s="2" t="str">
        <f>"2170757135"</f>
        <v>2170757135</v>
      </c>
      <c r="F1832" s="2" t="s">
        <v>17</v>
      </c>
      <c r="G1832" s="2" t="s">
        <v>18</v>
      </c>
      <c r="H1832" s="2" t="s">
        <v>18</v>
      </c>
      <c r="I1832" s="2" t="s">
        <v>46</v>
      </c>
      <c r="J1832" s="2" t="s">
        <v>139</v>
      </c>
      <c r="K1832" s="2" t="s">
        <v>1353</v>
      </c>
      <c r="L1832" s="3">
        <v>0.375</v>
      </c>
      <c r="M1832" s="2" t="s">
        <v>354</v>
      </c>
      <c r="N1832" s="2" t="s">
        <v>500</v>
      </c>
      <c r="O1832" s="5"/>
      <c r="P1832" s="4"/>
      <c r="Q1832" s="4"/>
      <c r="R1832" s="4"/>
      <c r="S1832" s="4"/>
      <c r="T1832" s="4"/>
      <c r="U1832" s="4"/>
      <c r="V1832" s="4"/>
      <c r="W1832" s="4"/>
      <c r="X1832" s="4"/>
      <c r="Y1832" s="4"/>
      <c r="Z1832" s="4"/>
      <c r="AA1832" s="4"/>
      <c r="AB1832" s="4"/>
      <c r="AC1832" s="4"/>
      <c r="AD1832" s="4"/>
      <c r="AE1832" s="4"/>
      <c r="AF1832" s="4"/>
      <c r="AG1832" s="4"/>
      <c r="AH1832" s="4"/>
      <c r="AI1832" s="4"/>
      <c r="AJ1832" s="4"/>
      <c r="AK1832" s="4"/>
      <c r="AL1832" s="4"/>
      <c r="AM1832" s="4"/>
      <c r="AN1832" s="4"/>
      <c r="AO1832" s="4"/>
      <c r="AP1832" s="4"/>
      <c r="AQ1832" s="4"/>
      <c r="AR1832" s="4"/>
      <c r="AS1832" s="4"/>
      <c r="AT1832" s="4"/>
      <c r="AU1832" s="4"/>
      <c r="AV1832" s="4"/>
      <c r="AW1832" s="4"/>
      <c r="AX1832" s="4"/>
      <c r="AY1832" s="4"/>
      <c r="AZ1832" s="4"/>
      <c r="BA1832" s="4"/>
      <c r="BB1832" s="4"/>
      <c r="BC1832" s="4"/>
      <c r="BD1832" s="4"/>
      <c r="BE1832" s="4"/>
      <c r="BF1832" s="4"/>
      <c r="BG1832" s="4"/>
      <c r="BH1832" s="4"/>
      <c r="BI1832" s="4"/>
      <c r="BJ1832" s="4"/>
      <c r="BK1832" s="4"/>
      <c r="BL1832" s="4"/>
      <c r="BM1832" s="4"/>
      <c r="BN1832" s="4"/>
      <c r="BO1832" s="4"/>
      <c r="BP1832" s="4"/>
      <c r="BQ1832" s="4"/>
      <c r="BR1832" s="4"/>
      <c r="BS1832" s="4"/>
      <c r="BT1832" s="4"/>
      <c r="BU1832" s="4"/>
      <c r="BV1832" s="4"/>
      <c r="BW1832" s="4"/>
      <c r="BX1832" s="4"/>
      <c r="BY1832" s="4"/>
      <c r="BZ1832" s="4"/>
      <c r="CA1832" s="4"/>
      <c r="CB1832" s="4"/>
      <c r="CC1832" s="4"/>
      <c r="CD1832" s="4"/>
      <c r="CE1832" s="4"/>
      <c r="CF1832" s="4"/>
      <c r="CG1832" s="4"/>
      <c r="CH1832" s="4"/>
      <c r="CI1832" s="4"/>
      <c r="CJ1832" s="4"/>
      <c r="CK1832" s="4"/>
      <c r="CL1832" s="4"/>
      <c r="CM1832" s="4"/>
      <c r="CN1832" s="4"/>
      <c r="CO1832" s="4"/>
      <c r="CP1832" s="4"/>
      <c r="CQ1832" s="4"/>
      <c r="CR1832" s="4"/>
      <c r="CS1832" s="4"/>
      <c r="CT1832" s="4"/>
    </row>
    <row r="1833" spans="1:98" x14ac:dyDescent="0.25">
      <c r="A1833" s="2" t="s">
        <v>15</v>
      </c>
      <c r="B1833" s="2" t="str">
        <f>"FES1162769596"</f>
        <v>FES1162769596</v>
      </c>
      <c r="C1833" s="2" t="s">
        <v>1266</v>
      </c>
      <c r="D1833" s="2">
        <v>1</v>
      </c>
      <c r="E1833" s="2" t="str">
        <f>"2170756652"</f>
        <v>2170756652</v>
      </c>
      <c r="F1833" s="2" t="s">
        <v>17</v>
      </c>
      <c r="G1833" s="2" t="s">
        <v>18</v>
      </c>
      <c r="H1833" s="2" t="s">
        <v>25</v>
      </c>
      <c r="I1833" s="2" t="s">
        <v>39</v>
      </c>
      <c r="J1833" s="2" t="s">
        <v>40</v>
      </c>
      <c r="K1833" s="2" t="s">
        <v>1353</v>
      </c>
      <c r="L1833" s="3">
        <v>0.43402777777777773</v>
      </c>
      <c r="M1833" s="2" t="s">
        <v>1464</v>
      </c>
      <c r="N1833" s="2" t="s">
        <v>500</v>
      </c>
      <c r="O1833" s="5"/>
      <c r="P1833" s="4"/>
      <c r="Q1833" s="4"/>
      <c r="R1833" s="4"/>
      <c r="S1833" s="4"/>
      <c r="T1833" s="4"/>
      <c r="U1833" s="4"/>
      <c r="V1833" s="4"/>
      <c r="W1833" s="4"/>
      <c r="X1833" s="4"/>
      <c r="Y1833" s="4"/>
      <c r="Z1833" s="4"/>
      <c r="AA1833" s="4"/>
      <c r="AB1833" s="4"/>
      <c r="AC1833" s="4"/>
      <c r="AD1833" s="4"/>
      <c r="AE1833" s="4"/>
      <c r="AF1833" s="4"/>
      <c r="AG1833" s="4"/>
      <c r="AH1833" s="4"/>
      <c r="AI1833" s="4"/>
      <c r="AJ1833" s="4"/>
      <c r="AK1833" s="4"/>
      <c r="AL1833" s="4"/>
      <c r="AM1833" s="4"/>
      <c r="AN1833" s="4"/>
      <c r="AO1833" s="4"/>
      <c r="AP1833" s="4"/>
      <c r="AQ1833" s="4"/>
      <c r="AR1833" s="4"/>
      <c r="AS1833" s="4"/>
      <c r="AT1833" s="4"/>
      <c r="AU1833" s="4"/>
      <c r="AV1833" s="4"/>
      <c r="AW1833" s="4"/>
      <c r="AX1833" s="4"/>
      <c r="AY1833" s="4"/>
      <c r="AZ1833" s="4"/>
      <c r="BA1833" s="4"/>
      <c r="BB1833" s="4"/>
      <c r="BC1833" s="4"/>
      <c r="BD1833" s="4"/>
      <c r="BE1833" s="4"/>
      <c r="BF1833" s="4"/>
      <c r="BG1833" s="4"/>
      <c r="BH1833" s="4"/>
      <c r="BI1833" s="4"/>
      <c r="BJ1833" s="4"/>
      <c r="BK1833" s="4"/>
      <c r="BL1833" s="4"/>
      <c r="BM1833" s="4"/>
      <c r="BN1833" s="4"/>
      <c r="BO1833" s="4"/>
      <c r="BP1833" s="4"/>
      <c r="BQ1833" s="4"/>
      <c r="BR1833" s="4"/>
      <c r="BS1833" s="4"/>
      <c r="BT1833" s="4"/>
      <c r="BU1833" s="4"/>
      <c r="BV1833" s="4"/>
      <c r="BW1833" s="4"/>
      <c r="BX1833" s="4"/>
      <c r="BY1833" s="4"/>
      <c r="BZ1833" s="4"/>
      <c r="CA1833" s="4"/>
      <c r="CB1833" s="4"/>
      <c r="CC1833" s="4"/>
      <c r="CD1833" s="4"/>
      <c r="CE1833" s="4"/>
      <c r="CF1833" s="4"/>
      <c r="CG1833" s="4"/>
      <c r="CH1833" s="4"/>
      <c r="CI1833" s="4"/>
      <c r="CJ1833" s="4"/>
      <c r="CK1833" s="4"/>
      <c r="CL1833" s="4"/>
      <c r="CM1833" s="4"/>
      <c r="CN1833" s="4"/>
      <c r="CO1833" s="4"/>
      <c r="CP1833" s="4"/>
      <c r="CQ1833" s="4"/>
      <c r="CR1833" s="4"/>
      <c r="CS1833" s="4"/>
      <c r="CT1833" s="4"/>
    </row>
    <row r="1834" spans="1:98" x14ac:dyDescent="0.25">
      <c r="A1834" s="2" t="s">
        <v>15</v>
      </c>
      <c r="B1834" s="2" t="str">
        <f>"FES1162769592"</f>
        <v>FES1162769592</v>
      </c>
      <c r="C1834" s="2" t="s">
        <v>1266</v>
      </c>
      <c r="D1834" s="2">
        <v>1</v>
      </c>
      <c r="E1834" s="2" t="str">
        <f>"2170756645"</f>
        <v>2170756645</v>
      </c>
      <c r="F1834" s="2" t="s">
        <v>17</v>
      </c>
      <c r="G1834" s="2" t="s">
        <v>18</v>
      </c>
      <c r="H1834" s="2" t="s">
        <v>25</v>
      </c>
      <c r="I1834" s="2" t="s">
        <v>42</v>
      </c>
      <c r="J1834" s="2" t="s">
        <v>651</v>
      </c>
      <c r="K1834" s="2" t="s">
        <v>1353</v>
      </c>
      <c r="L1834" s="3">
        <v>0.62569444444444444</v>
      </c>
      <c r="M1834" s="2" t="s">
        <v>1468</v>
      </c>
      <c r="N1834" s="2" t="s">
        <v>500</v>
      </c>
      <c r="O1834" s="5"/>
      <c r="P1834" s="4"/>
      <c r="Q1834" s="4"/>
      <c r="R1834" s="4"/>
      <c r="S1834" s="4"/>
      <c r="T1834" s="4"/>
      <c r="U1834" s="4"/>
      <c r="V1834" s="4"/>
      <c r="W1834" s="4"/>
      <c r="X1834" s="4"/>
      <c r="Y1834" s="4"/>
      <c r="Z1834" s="4"/>
      <c r="AA1834" s="4"/>
      <c r="AB1834" s="4"/>
      <c r="AC1834" s="4"/>
      <c r="AD1834" s="4"/>
      <c r="AE1834" s="4"/>
      <c r="AF1834" s="4"/>
      <c r="AG1834" s="4"/>
      <c r="AH1834" s="4"/>
      <c r="AI1834" s="4"/>
      <c r="AJ1834" s="4"/>
      <c r="AK1834" s="4"/>
      <c r="AL1834" s="4"/>
      <c r="AM1834" s="4"/>
      <c r="AN1834" s="4"/>
      <c r="AO1834" s="4"/>
      <c r="AP1834" s="4"/>
      <c r="AQ1834" s="4"/>
      <c r="AR1834" s="4"/>
      <c r="AS1834" s="4"/>
      <c r="AT1834" s="4"/>
      <c r="AU1834" s="4"/>
      <c r="AV1834" s="4"/>
      <c r="AW1834" s="4"/>
      <c r="AX1834" s="4"/>
      <c r="AY1834" s="4"/>
      <c r="AZ1834" s="4"/>
      <c r="BA1834" s="4"/>
      <c r="BB1834" s="4"/>
      <c r="BC1834" s="4"/>
      <c r="BD1834" s="4"/>
      <c r="BE1834" s="4"/>
      <c r="BF1834" s="4"/>
      <c r="BG1834" s="4"/>
      <c r="BH1834" s="4"/>
      <c r="BI1834" s="4"/>
      <c r="BJ1834" s="4"/>
      <c r="BK1834" s="4"/>
      <c r="BL1834" s="4"/>
      <c r="BM1834" s="4"/>
      <c r="BN1834" s="4"/>
      <c r="BO1834" s="4"/>
      <c r="BP1834" s="4"/>
      <c r="BQ1834" s="4"/>
      <c r="BR1834" s="4"/>
      <c r="BS1834" s="4"/>
      <c r="BT1834" s="4"/>
      <c r="BU1834" s="4"/>
      <c r="BV1834" s="4"/>
      <c r="BW1834" s="4"/>
      <c r="BX1834" s="4"/>
      <c r="BY1834" s="4"/>
      <c r="BZ1834" s="4"/>
      <c r="CA1834" s="4"/>
      <c r="CB1834" s="4"/>
      <c r="CC1834" s="4"/>
      <c r="CD1834" s="4"/>
      <c r="CE1834" s="4"/>
      <c r="CF1834" s="4"/>
      <c r="CG1834" s="4"/>
      <c r="CH1834" s="4"/>
      <c r="CI1834" s="4"/>
      <c r="CJ1834" s="4"/>
      <c r="CK1834" s="4"/>
      <c r="CL1834" s="4"/>
      <c r="CM1834" s="4"/>
      <c r="CN1834" s="4"/>
      <c r="CO1834" s="4"/>
      <c r="CP1834" s="4"/>
      <c r="CQ1834" s="4"/>
      <c r="CR1834" s="4"/>
      <c r="CS1834" s="4"/>
      <c r="CT1834" s="4"/>
    </row>
    <row r="1835" spans="1:98" x14ac:dyDescent="0.25">
      <c r="A1835" s="2" t="s">
        <v>15</v>
      </c>
      <c r="B1835" s="2" t="str">
        <f>"FES1162769805"</f>
        <v>FES1162769805</v>
      </c>
      <c r="C1835" s="2" t="s">
        <v>1266</v>
      </c>
      <c r="D1835" s="2">
        <v>1</v>
      </c>
      <c r="E1835" s="2" t="str">
        <f>"2170757054"</f>
        <v>2170757054</v>
      </c>
      <c r="F1835" s="2" t="s">
        <v>17</v>
      </c>
      <c r="G1835" s="2" t="s">
        <v>18</v>
      </c>
      <c r="H1835" s="2" t="s">
        <v>18</v>
      </c>
      <c r="I1835" s="2" t="s">
        <v>65</v>
      </c>
      <c r="J1835" s="2" t="s">
        <v>87</v>
      </c>
      <c r="K1835" s="2" t="s">
        <v>1353</v>
      </c>
      <c r="L1835" s="3">
        <v>0.41666666666666669</v>
      </c>
      <c r="M1835" s="2" t="s">
        <v>1486</v>
      </c>
      <c r="N1835" s="2" t="s">
        <v>500</v>
      </c>
      <c r="O1835" s="5"/>
      <c r="P1835" s="4"/>
      <c r="Q1835" s="4"/>
      <c r="R1835" s="4"/>
      <c r="S1835" s="4"/>
      <c r="T1835" s="4"/>
      <c r="U1835" s="4"/>
      <c r="V1835" s="4"/>
      <c r="W1835" s="4"/>
      <c r="X1835" s="4"/>
      <c r="Y1835" s="4"/>
      <c r="Z1835" s="4"/>
      <c r="AA1835" s="4"/>
      <c r="AB1835" s="4"/>
      <c r="AC1835" s="4"/>
      <c r="AD1835" s="4"/>
      <c r="AE1835" s="4"/>
      <c r="AF1835" s="4"/>
      <c r="AG1835" s="4"/>
      <c r="AH1835" s="4"/>
      <c r="AI1835" s="4"/>
      <c r="AJ1835" s="4"/>
      <c r="AK1835" s="4"/>
      <c r="AL1835" s="4"/>
      <c r="AM1835" s="4"/>
      <c r="AN1835" s="4"/>
      <c r="AO1835" s="4"/>
      <c r="AP1835" s="4"/>
      <c r="AQ1835" s="4"/>
      <c r="AR1835" s="4"/>
      <c r="AS1835" s="4"/>
      <c r="AT1835" s="4"/>
      <c r="AU1835" s="4"/>
      <c r="AV1835" s="4"/>
      <c r="AW1835" s="4"/>
      <c r="AX1835" s="4"/>
      <c r="AY1835" s="4"/>
      <c r="AZ1835" s="4"/>
      <c r="BA1835" s="4"/>
      <c r="BB1835" s="4"/>
      <c r="BC1835" s="4"/>
      <c r="BD1835" s="4"/>
      <c r="BE1835" s="4"/>
      <c r="BF1835" s="4"/>
      <c r="BG1835" s="4"/>
      <c r="BH1835" s="4"/>
      <c r="BI1835" s="4"/>
      <c r="BJ1835" s="4"/>
      <c r="BK1835" s="4"/>
      <c r="BL1835" s="4"/>
      <c r="BM1835" s="4"/>
      <c r="BN1835" s="4"/>
      <c r="BO1835" s="4"/>
      <c r="BP1835" s="4"/>
      <c r="BQ1835" s="4"/>
      <c r="BR1835" s="4"/>
      <c r="BS1835" s="4"/>
      <c r="BT1835" s="4"/>
      <c r="BU1835" s="4"/>
      <c r="BV1835" s="4"/>
      <c r="BW1835" s="4"/>
      <c r="BX1835" s="4"/>
      <c r="BY1835" s="4"/>
      <c r="BZ1835" s="4"/>
      <c r="CA1835" s="4"/>
      <c r="CB1835" s="4"/>
      <c r="CC1835" s="4"/>
      <c r="CD1835" s="4"/>
      <c r="CE1835" s="4"/>
      <c r="CF1835" s="4"/>
      <c r="CG1835" s="4"/>
      <c r="CH1835" s="4"/>
      <c r="CI1835" s="4"/>
      <c r="CJ1835" s="4"/>
      <c r="CK1835" s="4"/>
      <c r="CL1835" s="4"/>
      <c r="CM1835" s="4"/>
      <c r="CN1835" s="4"/>
      <c r="CO1835" s="4"/>
      <c r="CP1835" s="4"/>
      <c r="CQ1835" s="4"/>
      <c r="CR1835" s="4"/>
      <c r="CS1835" s="4"/>
      <c r="CT1835" s="4"/>
    </row>
    <row r="1836" spans="1:98" x14ac:dyDescent="0.25">
      <c r="A1836" s="2" t="s">
        <v>15</v>
      </c>
      <c r="B1836" s="2" t="str">
        <f>"FES1162769817"</f>
        <v>FES1162769817</v>
      </c>
      <c r="C1836" s="2" t="s">
        <v>1266</v>
      </c>
      <c r="D1836" s="2">
        <v>1</v>
      </c>
      <c r="E1836" s="2" t="str">
        <f>"2170757075"</f>
        <v>2170757075</v>
      </c>
      <c r="F1836" s="2" t="s">
        <v>17</v>
      </c>
      <c r="G1836" s="2" t="s">
        <v>18</v>
      </c>
      <c r="H1836" s="2" t="s">
        <v>18</v>
      </c>
      <c r="I1836" s="2" t="s">
        <v>116</v>
      </c>
      <c r="J1836" s="2" t="s">
        <v>493</v>
      </c>
      <c r="K1836" s="2" t="s">
        <v>1353</v>
      </c>
      <c r="L1836" s="3">
        <v>0.42222222222222222</v>
      </c>
      <c r="M1836" s="2" t="s">
        <v>598</v>
      </c>
      <c r="N1836" s="2" t="s">
        <v>500</v>
      </c>
      <c r="O1836" s="5"/>
      <c r="P1836" s="4"/>
      <c r="Q1836" s="4"/>
      <c r="R1836" s="4"/>
      <c r="S1836" s="4"/>
      <c r="T1836" s="4"/>
      <c r="U1836" s="4"/>
      <c r="V1836" s="4"/>
      <c r="W1836" s="4"/>
      <c r="X1836" s="4"/>
      <c r="Y1836" s="4"/>
      <c r="Z1836" s="4"/>
      <c r="AA1836" s="4"/>
      <c r="AB1836" s="4"/>
      <c r="AC1836" s="4"/>
      <c r="AD1836" s="4"/>
      <c r="AE1836" s="4"/>
      <c r="AF1836" s="4"/>
      <c r="AG1836" s="4"/>
      <c r="AH1836" s="4"/>
      <c r="AI1836" s="4"/>
      <c r="AJ1836" s="4"/>
      <c r="AK1836" s="4"/>
      <c r="AL1836" s="4"/>
      <c r="AM1836" s="4"/>
      <c r="AN1836" s="4"/>
      <c r="AO1836" s="4"/>
      <c r="AP1836" s="4"/>
      <c r="AQ1836" s="4"/>
      <c r="AR1836" s="4"/>
      <c r="AS1836" s="4"/>
      <c r="AT1836" s="4"/>
      <c r="AU1836" s="4"/>
      <c r="AV1836" s="4"/>
      <c r="AW1836" s="4"/>
      <c r="AX1836" s="4"/>
      <c r="AY1836" s="4"/>
      <c r="AZ1836" s="4"/>
      <c r="BA1836" s="4"/>
      <c r="BB1836" s="4"/>
      <c r="BC1836" s="4"/>
      <c r="BD1836" s="4"/>
      <c r="BE1836" s="4"/>
      <c r="BF1836" s="4"/>
      <c r="BG1836" s="4"/>
      <c r="BH1836" s="4"/>
      <c r="BI1836" s="4"/>
      <c r="BJ1836" s="4"/>
      <c r="BK1836" s="4"/>
      <c r="BL1836" s="4"/>
      <c r="BM1836" s="4"/>
      <c r="BN1836" s="4"/>
      <c r="BO1836" s="4"/>
      <c r="BP1836" s="4"/>
      <c r="BQ1836" s="4"/>
      <c r="BR1836" s="4"/>
      <c r="BS1836" s="4"/>
      <c r="BT1836" s="4"/>
      <c r="BU1836" s="4"/>
      <c r="BV1836" s="4"/>
      <c r="BW1836" s="4"/>
      <c r="BX1836" s="4"/>
      <c r="BY1836" s="4"/>
      <c r="BZ1836" s="4"/>
      <c r="CA1836" s="4"/>
      <c r="CB1836" s="4"/>
      <c r="CC1836" s="4"/>
      <c r="CD1836" s="4"/>
      <c r="CE1836" s="4"/>
      <c r="CF1836" s="4"/>
      <c r="CG1836" s="4"/>
      <c r="CH1836" s="4"/>
      <c r="CI1836" s="4"/>
      <c r="CJ1836" s="4"/>
      <c r="CK1836" s="4"/>
      <c r="CL1836" s="4"/>
      <c r="CM1836" s="4"/>
      <c r="CN1836" s="4"/>
      <c r="CO1836" s="4"/>
      <c r="CP1836" s="4"/>
      <c r="CQ1836" s="4"/>
      <c r="CR1836" s="4"/>
      <c r="CS1836" s="4"/>
      <c r="CT1836" s="4"/>
    </row>
    <row r="1837" spans="1:98" x14ac:dyDescent="0.25">
      <c r="A1837" s="2" t="s">
        <v>15</v>
      </c>
      <c r="B1837" s="2" t="str">
        <f>"FES1162769785"</f>
        <v>FES1162769785</v>
      </c>
      <c r="C1837" s="2" t="s">
        <v>1266</v>
      </c>
      <c r="D1837" s="2">
        <v>1</v>
      </c>
      <c r="E1837" s="2" t="str">
        <f>"2170757020"</f>
        <v>2170757020</v>
      </c>
      <c r="F1837" s="2" t="s">
        <v>17</v>
      </c>
      <c r="G1837" s="2" t="s">
        <v>18</v>
      </c>
      <c r="H1837" s="2" t="s">
        <v>18</v>
      </c>
      <c r="I1837" s="2" t="s">
        <v>46</v>
      </c>
      <c r="J1837" s="2" t="s">
        <v>59</v>
      </c>
      <c r="K1837" s="2" t="s">
        <v>1353</v>
      </c>
      <c r="L1837" s="3">
        <v>0.4375</v>
      </c>
      <c r="M1837" s="2" t="s">
        <v>559</v>
      </c>
      <c r="N1837" s="2" t="s">
        <v>500</v>
      </c>
      <c r="O1837" s="5"/>
      <c r="P1837" s="4"/>
      <c r="Q1837" s="4"/>
      <c r="R1837" s="4"/>
      <c r="S1837" s="4"/>
      <c r="T1837" s="4"/>
      <c r="U1837" s="4"/>
      <c r="V1837" s="4"/>
      <c r="W1837" s="4"/>
      <c r="X1837" s="4"/>
      <c r="Y1837" s="4"/>
      <c r="Z1837" s="4"/>
      <c r="AA1837" s="4"/>
      <c r="AB1837" s="4"/>
      <c r="AC1837" s="4"/>
      <c r="AD1837" s="4"/>
      <c r="AE1837" s="4"/>
      <c r="AF1837" s="4"/>
      <c r="AG1837" s="4"/>
      <c r="AH1837" s="4"/>
      <c r="AI1837" s="4"/>
      <c r="AJ1837" s="4"/>
      <c r="AK1837" s="4"/>
      <c r="AL1837" s="4"/>
      <c r="AM1837" s="4"/>
      <c r="AN1837" s="4"/>
      <c r="AO1837" s="4"/>
      <c r="AP1837" s="4"/>
      <c r="AQ1837" s="4"/>
      <c r="AR1837" s="4"/>
      <c r="AS1837" s="4"/>
      <c r="AT1837" s="4"/>
      <c r="AU1837" s="4"/>
      <c r="AV1837" s="4"/>
      <c r="AW1837" s="4"/>
      <c r="AX1837" s="4"/>
      <c r="AY1837" s="4"/>
      <c r="AZ1837" s="4"/>
      <c r="BA1837" s="4"/>
      <c r="BB1837" s="4"/>
      <c r="BC1837" s="4"/>
      <c r="BD1837" s="4"/>
      <c r="BE1837" s="4"/>
      <c r="BF1837" s="4"/>
      <c r="BG1837" s="4"/>
      <c r="BH1837" s="4"/>
      <c r="BI1837" s="4"/>
      <c r="BJ1837" s="4"/>
      <c r="BK1837" s="4"/>
      <c r="BL1837" s="4"/>
      <c r="BM1837" s="4"/>
      <c r="BN1837" s="4"/>
      <c r="BO1837" s="4"/>
      <c r="BP1837" s="4"/>
      <c r="BQ1837" s="4"/>
      <c r="BR1837" s="4"/>
      <c r="BS1837" s="4"/>
      <c r="BT1837" s="4"/>
      <c r="BU1837" s="4"/>
      <c r="BV1837" s="4"/>
      <c r="BW1837" s="4"/>
      <c r="BX1837" s="4"/>
      <c r="BY1837" s="4"/>
      <c r="BZ1837" s="4"/>
      <c r="CA1837" s="4"/>
      <c r="CB1837" s="4"/>
      <c r="CC1837" s="4"/>
      <c r="CD1837" s="4"/>
      <c r="CE1837" s="4"/>
      <c r="CF1837" s="4"/>
      <c r="CG1837" s="4"/>
      <c r="CH1837" s="4"/>
      <c r="CI1837" s="4"/>
      <c r="CJ1837" s="4"/>
      <c r="CK1837" s="4"/>
      <c r="CL1837" s="4"/>
      <c r="CM1837" s="4"/>
      <c r="CN1837" s="4"/>
      <c r="CO1837" s="4"/>
      <c r="CP1837" s="4"/>
      <c r="CQ1837" s="4"/>
      <c r="CR1837" s="4"/>
      <c r="CS1837" s="4"/>
      <c r="CT1837" s="4"/>
    </row>
    <row r="1838" spans="1:98" x14ac:dyDescent="0.25">
      <c r="A1838" s="2" t="s">
        <v>15</v>
      </c>
      <c r="B1838" s="2" t="str">
        <f>"FES1162769784"</f>
        <v>FES1162769784</v>
      </c>
      <c r="C1838" s="2" t="s">
        <v>1266</v>
      </c>
      <c r="D1838" s="2">
        <v>1</v>
      </c>
      <c r="E1838" s="2" t="str">
        <f>"2170757019"</f>
        <v>2170757019</v>
      </c>
      <c r="F1838" s="2" t="s">
        <v>17</v>
      </c>
      <c r="G1838" s="2" t="s">
        <v>18</v>
      </c>
      <c r="H1838" s="2" t="s">
        <v>18</v>
      </c>
      <c r="I1838" s="2" t="s">
        <v>57</v>
      </c>
      <c r="J1838" s="2" t="s">
        <v>1405</v>
      </c>
      <c r="K1838" s="2" t="s">
        <v>1353</v>
      </c>
      <c r="L1838" s="3">
        <v>0.32500000000000001</v>
      </c>
      <c r="M1838" s="2" t="s">
        <v>1484</v>
      </c>
      <c r="N1838" s="2" t="s">
        <v>500</v>
      </c>
      <c r="O1838" s="5"/>
      <c r="P1838" s="4"/>
      <c r="Q1838" s="4"/>
      <c r="R1838" s="4"/>
      <c r="S1838" s="4"/>
      <c r="T1838" s="4"/>
      <c r="U1838" s="4"/>
      <c r="V1838" s="4"/>
      <c r="W1838" s="4"/>
      <c r="X1838" s="4"/>
      <c r="Y1838" s="4"/>
      <c r="Z1838" s="4"/>
      <c r="AA1838" s="4"/>
      <c r="AB1838" s="4"/>
      <c r="AC1838" s="4"/>
      <c r="AD1838" s="4"/>
      <c r="AE1838" s="4"/>
      <c r="AF1838" s="4"/>
      <c r="AG1838" s="4"/>
      <c r="AH1838" s="4"/>
      <c r="AI1838" s="4"/>
      <c r="AJ1838" s="4"/>
      <c r="AK1838" s="4"/>
      <c r="AL1838" s="4"/>
      <c r="AM1838" s="4"/>
      <c r="AN1838" s="4"/>
      <c r="AO1838" s="4"/>
      <c r="AP1838" s="4"/>
      <c r="AQ1838" s="4"/>
      <c r="AR1838" s="4"/>
      <c r="AS1838" s="4"/>
      <c r="AT1838" s="4"/>
      <c r="AU1838" s="4"/>
      <c r="AV1838" s="4"/>
      <c r="AW1838" s="4"/>
      <c r="AX1838" s="4"/>
      <c r="AY1838" s="4"/>
      <c r="AZ1838" s="4"/>
      <c r="BA1838" s="4"/>
      <c r="BB1838" s="4"/>
      <c r="BC1838" s="4"/>
      <c r="BD1838" s="4"/>
      <c r="BE1838" s="4"/>
      <c r="BF1838" s="4"/>
      <c r="BG1838" s="4"/>
      <c r="BH1838" s="4"/>
      <c r="BI1838" s="4"/>
      <c r="BJ1838" s="4"/>
      <c r="BK1838" s="4"/>
      <c r="BL1838" s="4"/>
      <c r="BM1838" s="4"/>
      <c r="BN1838" s="4"/>
      <c r="BO1838" s="4"/>
      <c r="BP1838" s="4"/>
      <c r="BQ1838" s="4"/>
      <c r="BR1838" s="4"/>
      <c r="BS1838" s="4"/>
      <c r="BT1838" s="4"/>
      <c r="BU1838" s="4"/>
      <c r="BV1838" s="4"/>
      <c r="BW1838" s="4"/>
      <c r="BX1838" s="4"/>
      <c r="BY1838" s="4"/>
      <c r="BZ1838" s="4"/>
      <c r="CA1838" s="4"/>
      <c r="CB1838" s="4"/>
      <c r="CC1838" s="4"/>
      <c r="CD1838" s="4"/>
      <c r="CE1838" s="4"/>
      <c r="CF1838" s="4"/>
      <c r="CG1838" s="4"/>
      <c r="CH1838" s="4"/>
      <c r="CI1838" s="4"/>
      <c r="CJ1838" s="4"/>
      <c r="CK1838" s="4"/>
      <c r="CL1838" s="4"/>
      <c r="CM1838" s="4"/>
      <c r="CN1838" s="4"/>
      <c r="CO1838" s="4"/>
      <c r="CP1838" s="4"/>
      <c r="CQ1838" s="4"/>
      <c r="CR1838" s="4"/>
      <c r="CS1838" s="4"/>
      <c r="CT1838" s="4"/>
    </row>
    <row r="1839" spans="1:98" x14ac:dyDescent="0.25">
      <c r="A1839" s="2" t="s">
        <v>15</v>
      </c>
      <c r="B1839" s="2" t="str">
        <f>"FES1162769847"</f>
        <v>FES1162769847</v>
      </c>
      <c r="C1839" s="2" t="s">
        <v>1266</v>
      </c>
      <c r="D1839" s="2">
        <v>1</v>
      </c>
      <c r="E1839" s="2" t="str">
        <f>"2170757124"</f>
        <v>2170757124</v>
      </c>
      <c r="F1839" s="2" t="s">
        <v>17</v>
      </c>
      <c r="G1839" s="2" t="s">
        <v>18</v>
      </c>
      <c r="H1839" s="2" t="s">
        <v>18</v>
      </c>
      <c r="I1839" s="2" t="s">
        <v>290</v>
      </c>
      <c r="J1839" s="2" t="s">
        <v>1294</v>
      </c>
      <c r="K1839" s="2" t="s">
        <v>1353</v>
      </c>
      <c r="L1839" s="3">
        <v>0.40138888888888885</v>
      </c>
      <c r="M1839" s="2" t="s">
        <v>1186</v>
      </c>
      <c r="N1839" s="2" t="s">
        <v>500</v>
      </c>
      <c r="O1839" s="5"/>
      <c r="P1839" s="4"/>
      <c r="Q1839" s="4"/>
      <c r="R1839" s="4"/>
      <c r="S1839" s="4"/>
      <c r="T1839" s="4"/>
      <c r="U1839" s="4"/>
      <c r="V1839" s="4"/>
      <c r="W1839" s="4"/>
      <c r="X1839" s="4"/>
      <c r="Y1839" s="4"/>
      <c r="Z1839" s="4"/>
      <c r="AA1839" s="4"/>
      <c r="AB1839" s="4"/>
      <c r="AC1839" s="4"/>
      <c r="AD1839" s="4"/>
      <c r="AE1839" s="4"/>
      <c r="AF1839" s="4"/>
      <c r="AG1839" s="4"/>
      <c r="AH1839" s="4"/>
      <c r="AI1839" s="4"/>
      <c r="AJ1839" s="4"/>
      <c r="AK1839" s="4"/>
      <c r="AL1839" s="4"/>
      <c r="AM1839" s="4"/>
      <c r="AN1839" s="4"/>
      <c r="AO1839" s="4"/>
      <c r="AP1839" s="4"/>
      <c r="AQ1839" s="4"/>
      <c r="AR1839" s="4"/>
      <c r="AS1839" s="4"/>
      <c r="AT1839" s="4"/>
      <c r="AU1839" s="4"/>
      <c r="AV1839" s="4"/>
      <c r="AW1839" s="4"/>
      <c r="AX1839" s="4"/>
      <c r="AY1839" s="4"/>
      <c r="AZ1839" s="4"/>
      <c r="BA1839" s="4"/>
      <c r="BB1839" s="4"/>
      <c r="BC1839" s="4"/>
      <c r="BD1839" s="4"/>
      <c r="BE1839" s="4"/>
      <c r="BF1839" s="4"/>
      <c r="BG1839" s="4"/>
      <c r="BH1839" s="4"/>
      <c r="BI1839" s="4"/>
      <c r="BJ1839" s="4"/>
      <c r="BK1839" s="4"/>
      <c r="BL1839" s="4"/>
      <c r="BM1839" s="4"/>
      <c r="BN1839" s="4"/>
      <c r="BO1839" s="4"/>
      <c r="BP1839" s="4"/>
      <c r="BQ1839" s="4"/>
      <c r="BR1839" s="4"/>
      <c r="BS1839" s="4"/>
      <c r="BT1839" s="4"/>
      <c r="BU1839" s="4"/>
      <c r="BV1839" s="4"/>
      <c r="BW1839" s="4"/>
      <c r="BX1839" s="4"/>
      <c r="BY1839" s="4"/>
      <c r="BZ1839" s="4"/>
      <c r="CA1839" s="4"/>
      <c r="CB1839" s="4"/>
      <c r="CC1839" s="4"/>
      <c r="CD1839" s="4"/>
      <c r="CE1839" s="4"/>
      <c r="CF1839" s="4"/>
      <c r="CG1839" s="4"/>
      <c r="CH1839" s="4"/>
      <c r="CI1839" s="4"/>
      <c r="CJ1839" s="4"/>
      <c r="CK1839" s="4"/>
      <c r="CL1839" s="4"/>
      <c r="CM1839" s="4"/>
      <c r="CN1839" s="4"/>
      <c r="CO1839" s="4"/>
      <c r="CP1839" s="4"/>
      <c r="CQ1839" s="4"/>
      <c r="CR1839" s="4"/>
      <c r="CS1839" s="4"/>
      <c r="CT1839" s="4"/>
    </row>
    <row r="1840" spans="1:98" x14ac:dyDescent="0.25">
      <c r="A1840" s="2" t="s">
        <v>15</v>
      </c>
      <c r="B1840" s="2" t="str">
        <f>"FES1162769939"</f>
        <v>FES1162769939</v>
      </c>
      <c r="C1840" s="2" t="s">
        <v>1266</v>
      </c>
      <c r="D1840" s="2">
        <v>1</v>
      </c>
      <c r="E1840" s="2" t="str">
        <f>"2170755358"</f>
        <v>2170755358</v>
      </c>
      <c r="F1840" s="2" t="s">
        <v>17</v>
      </c>
      <c r="G1840" s="2" t="s">
        <v>18</v>
      </c>
      <c r="H1840" s="2" t="s">
        <v>18</v>
      </c>
      <c r="I1840" s="2" t="s">
        <v>290</v>
      </c>
      <c r="J1840" s="2" t="s">
        <v>420</v>
      </c>
      <c r="K1840" s="2" t="s">
        <v>1353</v>
      </c>
      <c r="L1840" s="3">
        <v>0.33333333333333331</v>
      </c>
      <c r="M1840" s="2" t="s">
        <v>946</v>
      </c>
      <c r="N1840" s="2" t="s">
        <v>500</v>
      </c>
      <c r="O1840" s="5"/>
      <c r="P1840" s="4"/>
      <c r="Q1840" s="4"/>
      <c r="R1840" s="4"/>
      <c r="S1840" s="4"/>
      <c r="T1840" s="4"/>
      <c r="U1840" s="4"/>
      <c r="V1840" s="4"/>
      <c r="W1840" s="4"/>
      <c r="X1840" s="4"/>
      <c r="Y1840" s="4"/>
      <c r="Z1840" s="4"/>
      <c r="AA1840" s="4"/>
      <c r="AB1840" s="4"/>
      <c r="AC1840" s="4"/>
      <c r="AD1840" s="4"/>
      <c r="AE1840" s="4"/>
      <c r="AF1840" s="4"/>
      <c r="AG1840" s="4"/>
      <c r="AH1840" s="4"/>
      <c r="AI1840" s="4"/>
      <c r="AJ1840" s="4"/>
      <c r="AK1840" s="4"/>
      <c r="AL1840" s="4"/>
      <c r="AM1840" s="4"/>
      <c r="AN1840" s="4"/>
      <c r="AO1840" s="4"/>
      <c r="AP1840" s="4"/>
      <c r="AQ1840" s="4"/>
      <c r="AR1840" s="4"/>
      <c r="AS1840" s="4"/>
      <c r="AT1840" s="4"/>
      <c r="AU1840" s="4"/>
      <c r="AV1840" s="4"/>
      <c r="AW1840" s="4"/>
      <c r="AX1840" s="4"/>
      <c r="AY1840" s="4"/>
      <c r="AZ1840" s="4"/>
      <c r="BA1840" s="4"/>
      <c r="BB1840" s="4"/>
      <c r="BC1840" s="4"/>
      <c r="BD1840" s="4"/>
      <c r="BE1840" s="4"/>
      <c r="BF1840" s="4"/>
      <c r="BG1840" s="4"/>
      <c r="BH1840" s="4"/>
      <c r="BI1840" s="4"/>
      <c r="BJ1840" s="4"/>
      <c r="BK1840" s="4"/>
      <c r="BL1840" s="4"/>
      <c r="BM1840" s="4"/>
      <c r="BN1840" s="4"/>
      <c r="BO1840" s="4"/>
      <c r="BP1840" s="4"/>
      <c r="BQ1840" s="4"/>
      <c r="BR1840" s="4"/>
      <c r="BS1840" s="4"/>
      <c r="BT1840" s="4"/>
      <c r="BU1840" s="4"/>
      <c r="BV1840" s="4"/>
      <c r="BW1840" s="4"/>
      <c r="BX1840" s="4"/>
      <c r="BY1840" s="4"/>
      <c r="BZ1840" s="4"/>
      <c r="CA1840" s="4"/>
      <c r="CB1840" s="4"/>
      <c r="CC1840" s="4"/>
      <c r="CD1840" s="4"/>
      <c r="CE1840" s="4"/>
      <c r="CF1840" s="4"/>
      <c r="CG1840" s="4"/>
      <c r="CH1840" s="4"/>
      <c r="CI1840" s="4"/>
      <c r="CJ1840" s="4"/>
      <c r="CK1840" s="4"/>
      <c r="CL1840" s="4"/>
      <c r="CM1840" s="4"/>
      <c r="CN1840" s="4"/>
      <c r="CO1840" s="4"/>
      <c r="CP1840" s="4"/>
      <c r="CQ1840" s="4"/>
      <c r="CR1840" s="4"/>
      <c r="CS1840" s="4"/>
      <c r="CT1840" s="4"/>
    </row>
    <row r="1841" spans="1:98" x14ac:dyDescent="0.25">
      <c r="A1841" s="2" t="s">
        <v>15</v>
      </c>
      <c r="B1841" s="2" t="str">
        <f>"FES1162769604"</f>
        <v>FES1162769604</v>
      </c>
      <c r="C1841" s="2" t="s">
        <v>1266</v>
      </c>
      <c r="D1841" s="2">
        <v>1</v>
      </c>
      <c r="E1841" s="2" t="str">
        <f>"2170756664"</f>
        <v>2170756664</v>
      </c>
      <c r="F1841" s="2" t="s">
        <v>17</v>
      </c>
      <c r="G1841" s="2" t="s">
        <v>18</v>
      </c>
      <c r="H1841" s="2" t="s">
        <v>484</v>
      </c>
      <c r="I1841" s="2" t="s">
        <v>485</v>
      </c>
      <c r="J1841" s="2" t="s">
        <v>486</v>
      </c>
      <c r="K1841" s="2" t="s">
        <v>1353</v>
      </c>
      <c r="L1841" s="3">
        <v>0.39027777777777778</v>
      </c>
      <c r="M1841" s="2" t="s">
        <v>288</v>
      </c>
      <c r="N1841" s="2" t="s">
        <v>500</v>
      </c>
      <c r="O1841" s="5"/>
      <c r="P1841" s="4"/>
      <c r="Q1841" s="4"/>
      <c r="R1841" s="4"/>
      <c r="S1841" s="4"/>
      <c r="T1841" s="4"/>
      <c r="U1841" s="4"/>
      <c r="V1841" s="4"/>
      <c r="W1841" s="4"/>
      <c r="X1841" s="4"/>
      <c r="Y1841" s="4"/>
      <c r="Z1841" s="4"/>
      <c r="AA1841" s="4"/>
      <c r="AB1841" s="4"/>
      <c r="AC1841" s="4"/>
      <c r="AD1841" s="4"/>
      <c r="AE1841" s="4"/>
      <c r="AF1841" s="4"/>
      <c r="AG1841" s="4"/>
      <c r="AH1841" s="4"/>
      <c r="AI1841" s="4"/>
      <c r="AJ1841" s="4"/>
      <c r="AK1841" s="4"/>
      <c r="AL1841" s="4"/>
      <c r="AM1841" s="4"/>
      <c r="AN1841" s="4"/>
      <c r="AO1841" s="4"/>
      <c r="AP1841" s="4"/>
      <c r="AQ1841" s="4"/>
      <c r="AR1841" s="4"/>
      <c r="AS1841" s="4"/>
      <c r="AT1841" s="4"/>
      <c r="AU1841" s="4"/>
      <c r="AV1841" s="4"/>
      <c r="AW1841" s="4"/>
      <c r="AX1841" s="4"/>
      <c r="AY1841" s="4"/>
      <c r="AZ1841" s="4"/>
      <c r="BA1841" s="4"/>
      <c r="BB1841" s="4"/>
      <c r="BC1841" s="4"/>
      <c r="BD1841" s="4"/>
      <c r="BE1841" s="4"/>
      <c r="BF1841" s="4"/>
      <c r="BG1841" s="4"/>
      <c r="BH1841" s="4"/>
      <c r="BI1841" s="4"/>
      <c r="BJ1841" s="4"/>
      <c r="BK1841" s="4"/>
      <c r="BL1841" s="4"/>
      <c r="BM1841" s="4"/>
      <c r="BN1841" s="4"/>
      <c r="BO1841" s="4"/>
      <c r="BP1841" s="4"/>
      <c r="BQ1841" s="4"/>
      <c r="BR1841" s="4"/>
      <c r="BS1841" s="4"/>
      <c r="BT1841" s="4"/>
      <c r="BU1841" s="4"/>
      <c r="BV1841" s="4"/>
      <c r="BW1841" s="4"/>
      <c r="BX1841" s="4"/>
      <c r="BY1841" s="4"/>
      <c r="BZ1841" s="4"/>
      <c r="CA1841" s="4"/>
      <c r="CB1841" s="4"/>
      <c r="CC1841" s="4"/>
      <c r="CD1841" s="4"/>
      <c r="CE1841" s="4"/>
      <c r="CF1841" s="4"/>
      <c r="CG1841" s="4"/>
      <c r="CH1841" s="4"/>
      <c r="CI1841" s="4"/>
      <c r="CJ1841" s="4"/>
      <c r="CK1841" s="4"/>
      <c r="CL1841" s="4"/>
      <c r="CM1841" s="4"/>
      <c r="CN1841" s="4"/>
      <c r="CO1841" s="4"/>
      <c r="CP1841" s="4"/>
      <c r="CQ1841" s="4"/>
      <c r="CR1841" s="4"/>
      <c r="CS1841" s="4"/>
      <c r="CT1841" s="4"/>
    </row>
    <row r="1842" spans="1:98" x14ac:dyDescent="0.25">
      <c r="A1842" s="2" t="s">
        <v>15</v>
      </c>
      <c r="B1842" s="2" t="str">
        <f>"FES1162769588"</f>
        <v>FES1162769588</v>
      </c>
      <c r="C1842" s="2" t="s">
        <v>1266</v>
      </c>
      <c r="D1842" s="2">
        <v>1</v>
      </c>
      <c r="E1842" s="2" t="str">
        <f>"2170756635"</f>
        <v>2170756635</v>
      </c>
      <c r="F1842" s="2" t="s">
        <v>17</v>
      </c>
      <c r="G1842" s="2" t="s">
        <v>18</v>
      </c>
      <c r="H1842" s="2" t="s">
        <v>25</v>
      </c>
      <c r="I1842" s="2" t="s">
        <v>26</v>
      </c>
      <c r="J1842" s="2" t="s">
        <v>1020</v>
      </c>
      <c r="K1842" s="2" t="s">
        <v>1353</v>
      </c>
      <c r="L1842" s="3">
        <v>0.37847222222222227</v>
      </c>
      <c r="M1842" s="2" t="s">
        <v>1334</v>
      </c>
      <c r="N1842" s="2" t="s">
        <v>500</v>
      </c>
      <c r="O1842" s="5"/>
      <c r="P1842" s="4"/>
      <c r="Q1842" s="4"/>
      <c r="R1842" s="4"/>
      <c r="S1842" s="4"/>
      <c r="T1842" s="4"/>
      <c r="U1842" s="4"/>
      <c r="V1842" s="4"/>
      <c r="W1842" s="4"/>
      <c r="X1842" s="4"/>
      <c r="Y1842" s="4"/>
      <c r="Z1842" s="4"/>
      <c r="AA1842" s="4"/>
      <c r="AB1842" s="4"/>
      <c r="AC1842" s="4"/>
      <c r="AD1842" s="4"/>
      <c r="AE1842" s="4"/>
      <c r="AF1842" s="4"/>
      <c r="AG1842" s="4"/>
      <c r="AH1842" s="4"/>
      <c r="AI1842" s="4"/>
      <c r="AJ1842" s="4"/>
      <c r="AK1842" s="4"/>
      <c r="AL1842" s="4"/>
      <c r="AM1842" s="4"/>
      <c r="AN1842" s="4"/>
      <c r="AO1842" s="4"/>
      <c r="AP1842" s="4"/>
      <c r="AQ1842" s="4"/>
      <c r="AR1842" s="4"/>
      <c r="AS1842" s="4"/>
      <c r="AT1842" s="4"/>
      <c r="AU1842" s="4"/>
      <c r="AV1842" s="4"/>
      <c r="AW1842" s="4"/>
      <c r="AX1842" s="4"/>
      <c r="AY1842" s="4"/>
      <c r="AZ1842" s="4"/>
      <c r="BA1842" s="4"/>
      <c r="BB1842" s="4"/>
      <c r="BC1842" s="4"/>
      <c r="BD1842" s="4"/>
      <c r="BE1842" s="4"/>
      <c r="BF1842" s="4"/>
      <c r="BG1842" s="4"/>
      <c r="BH1842" s="4"/>
      <c r="BI1842" s="4"/>
      <c r="BJ1842" s="4"/>
      <c r="BK1842" s="4"/>
      <c r="BL1842" s="4"/>
      <c r="BM1842" s="4"/>
      <c r="BN1842" s="4"/>
      <c r="BO1842" s="4"/>
      <c r="BP1842" s="4"/>
      <c r="BQ1842" s="4"/>
      <c r="BR1842" s="4"/>
      <c r="BS1842" s="4"/>
      <c r="BT1842" s="4"/>
      <c r="BU1842" s="4"/>
      <c r="BV1842" s="4"/>
      <c r="BW1842" s="4"/>
      <c r="BX1842" s="4"/>
      <c r="BY1842" s="4"/>
      <c r="BZ1842" s="4"/>
      <c r="CA1842" s="4"/>
      <c r="CB1842" s="4"/>
      <c r="CC1842" s="4"/>
      <c r="CD1842" s="4"/>
      <c r="CE1842" s="4"/>
      <c r="CF1842" s="4"/>
      <c r="CG1842" s="4"/>
      <c r="CH1842" s="4"/>
      <c r="CI1842" s="4"/>
      <c r="CJ1842" s="4"/>
      <c r="CK1842" s="4"/>
      <c r="CL1842" s="4"/>
      <c r="CM1842" s="4"/>
      <c r="CN1842" s="4"/>
      <c r="CO1842" s="4"/>
      <c r="CP1842" s="4"/>
      <c r="CQ1842" s="4"/>
      <c r="CR1842" s="4"/>
      <c r="CS1842" s="4"/>
      <c r="CT1842" s="4"/>
    </row>
    <row r="1843" spans="1:98" x14ac:dyDescent="0.25">
      <c r="A1843" s="2" t="s">
        <v>15</v>
      </c>
      <c r="B1843" s="2" t="str">
        <f>"FES1162769565"</f>
        <v>FES1162769565</v>
      </c>
      <c r="C1843" s="2" t="s">
        <v>1266</v>
      </c>
      <c r="D1843" s="2">
        <v>1</v>
      </c>
      <c r="E1843" s="2" t="str">
        <f>"2170756592"</f>
        <v>2170756592</v>
      </c>
      <c r="F1843" s="2" t="s">
        <v>17</v>
      </c>
      <c r="G1843" s="2" t="s">
        <v>18</v>
      </c>
      <c r="H1843" s="2" t="s">
        <v>25</v>
      </c>
      <c r="I1843" s="2" t="s">
        <v>42</v>
      </c>
      <c r="J1843" s="2" t="s">
        <v>416</v>
      </c>
      <c r="K1843" s="2" t="s">
        <v>1353</v>
      </c>
      <c r="L1843" s="3">
        <v>0.62847222222222221</v>
      </c>
      <c r="M1843" s="2" t="s">
        <v>688</v>
      </c>
      <c r="N1843" s="2" t="s">
        <v>500</v>
      </c>
      <c r="O1843" s="5"/>
      <c r="P1843" s="4"/>
      <c r="Q1843" s="4"/>
      <c r="R1843" s="4"/>
      <c r="S1843" s="4"/>
      <c r="T1843" s="4"/>
      <c r="U1843" s="4"/>
      <c r="V1843" s="4"/>
      <c r="W1843" s="4"/>
      <c r="X1843" s="4"/>
      <c r="Y1843" s="4"/>
      <c r="Z1843" s="4"/>
      <c r="AA1843" s="4"/>
      <c r="AB1843" s="4"/>
      <c r="AC1843" s="4"/>
      <c r="AD1843" s="4"/>
      <c r="AE1843" s="4"/>
      <c r="AF1843" s="4"/>
      <c r="AG1843" s="4"/>
      <c r="AH1843" s="4"/>
      <c r="AI1843" s="4"/>
      <c r="AJ1843" s="4"/>
      <c r="AK1843" s="4"/>
      <c r="AL1843" s="4"/>
      <c r="AM1843" s="4"/>
      <c r="AN1843" s="4"/>
      <c r="AO1843" s="4"/>
      <c r="AP1843" s="4"/>
      <c r="AQ1843" s="4"/>
      <c r="AR1843" s="4"/>
      <c r="AS1843" s="4"/>
      <c r="AT1843" s="4"/>
      <c r="AU1843" s="4"/>
      <c r="AV1843" s="4"/>
      <c r="AW1843" s="4"/>
      <c r="AX1843" s="4"/>
      <c r="AY1843" s="4"/>
      <c r="AZ1843" s="4"/>
      <c r="BA1843" s="4"/>
      <c r="BB1843" s="4"/>
      <c r="BC1843" s="4"/>
      <c r="BD1843" s="4"/>
      <c r="BE1843" s="4"/>
      <c r="BF1843" s="4"/>
      <c r="BG1843" s="4"/>
      <c r="BH1843" s="4"/>
      <c r="BI1843" s="4"/>
      <c r="BJ1843" s="4"/>
      <c r="BK1843" s="4"/>
      <c r="BL1843" s="4"/>
      <c r="BM1843" s="4"/>
      <c r="BN1843" s="4"/>
      <c r="BO1843" s="4"/>
      <c r="BP1843" s="4"/>
      <c r="BQ1843" s="4"/>
      <c r="BR1843" s="4"/>
      <c r="BS1843" s="4"/>
      <c r="BT1843" s="4"/>
      <c r="BU1843" s="4"/>
      <c r="BV1843" s="4"/>
      <c r="BW1843" s="4"/>
      <c r="BX1843" s="4"/>
      <c r="BY1843" s="4"/>
      <c r="BZ1843" s="4"/>
      <c r="CA1843" s="4"/>
      <c r="CB1843" s="4"/>
      <c r="CC1843" s="4"/>
      <c r="CD1843" s="4"/>
      <c r="CE1843" s="4"/>
      <c r="CF1843" s="4"/>
      <c r="CG1843" s="4"/>
      <c r="CH1843" s="4"/>
      <c r="CI1843" s="4"/>
      <c r="CJ1843" s="4"/>
      <c r="CK1843" s="4"/>
      <c r="CL1843" s="4"/>
      <c r="CM1843" s="4"/>
      <c r="CN1843" s="4"/>
      <c r="CO1843" s="4"/>
      <c r="CP1843" s="4"/>
      <c r="CQ1843" s="4"/>
      <c r="CR1843" s="4"/>
      <c r="CS1843" s="4"/>
      <c r="CT1843" s="4"/>
    </row>
    <row r="1844" spans="1:98" x14ac:dyDescent="0.25">
      <c r="A1844" s="2" t="s">
        <v>15</v>
      </c>
      <c r="B1844" s="2" t="str">
        <f>"FES1162769679"</f>
        <v>FES1162769679</v>
      </c>
      <c r="C1844" s="2" t="s">
        <v>1266</v>
      </c>
      <c r="D1844" s="2">
        <v>1</v>
      </c>
      <c r="E1844" s="2" t="str">
        <f>"2170756787"</f>
        <v>2170756787</v>
      </c>
      <c r="F1844" s="2" t="s">
        <v>17</v>
      </c>
      <c r="G1844" s="2" t="s">
        <v>18</v>
      </c>
      <c r="H1844" s="2" t="s">
        <v>18</v>
      </c>
      <c r="I1844" s="2" t="s">
        <v>63</v>
      </c>
      <c r="J1844" s="2" t="s">
        <v>93</v>
      </c>
      <c r="K1844" s="2" t="s">
        <v>1353</v>
      </c>
      <c r="L1844" s="3">
        <v>0.34583333333333338</v>
      </c>
      <c r="M1844" s="2" t="s">
        <v>736</v>
      </c>
      <c r="N1844" s="2" t="s">
        <v>500</v>
      </c>
      <c r="O1844" s="5"/>
      <c r="P1844" s="4"/>
      <c r="Q1844" s="4"/>
      <c r="R1844" s="4"/>
      <c r="S1844" s="4"/>
      <c r="T1844" s="4"/>
      <c r="U1844" s="4"/>
      <c r="V1844" s="4"/>
      <c r="W1844" s="4"/>
      <c r="X1844" s="4"/>
      <c r="Y1844" s="4"/>
      <c r="Z1844" s="4"/>
      <c r="AA1844" s="4"/>
      <c r="AB1844" s="4"/>
      <c r="AC1844" s="4"/>
      <c r="AD1844" s="4"/>
      <c r="AE1844" s="4"/>
      <c r="AF1844" s="4"/>
      <c r="AG1844" s="4"/>
      <c r="AH1844" s="4"/>
      <c r="AI1844" s="4"/>
      <c r="AJ1844" s="4"/>
      <c r="AK1844" s="4"/>
      <c r="AL1844" s="4"/>
      <c r="AM1844" s="4"/>
      <c r="AN1844" s="4"/>
      <c r="AO1844" s="4"/>
      <c r="AP1844" s="4"/>
      <c r="AQ1844" s="4"/>
      <c r="AR1844" s="4"/>
      <c r="AS1844" s="4"/>
      <c r="AT1844" s="4"/>
      <c r="AU1844" s="4"/>
      <c r="AV1844" s="4"/>
      <c r="AW1844" s="4"/>
      <c r="AX1844" s="4"/>
      <c r="AY1844" s="4"/>
      <c r="AZ1844" s="4"/>
      <c r="BA1844" s="4"/>
      <c r="BB1844" s="4"/>
      <c r="BC1844" s="4"/>
      <c r="BD1844" s="4"/>
      <c r="BE1844" s="4"/>
      <c r="BF1844" s="4"/>
      <c r="BG1844" s="4"/>
      <c r="BH1844" s="4"/>
      <c r="BI1844" s="4"/>
      <c r="BJ1844" s="4"/>
      <c r="BK1844" s="4"/>
      <c r="BL1844" s="4"/>
      <c r="BM1844" s="4"/>
      <c r="BN1844" s="4"/>
      <c r="BO1844" s="4"/>
      <c r="BP1844" s="4"/>
      <c r="BQ1844" s="4"/>
      <c r="BR1844" s="4"/>
      <c r="BS1844" s="4"/>
      <c r="BT1844" s="4"/>
      <c r="BU1844" s="4"/>
      <c r="BV1844" s="4"/>
      <c r="BW1844" s="4"/>
      <c r="BX1844" s="4"/>
      <c r="BY1844" s="4"/>
      <c r="BZ1844" s="4"/>
      <c r="CA1844" s="4"/>
      <c r="CB1844" s="4"/>
      <c r="CC1844" s="4"/>
      <c r="CD1844" s="4"/>
      <c r="CE1844" s="4"/>
      <c r="CF1844" s="4"/>
      <c r="CG1844" s="4"/>
      <c r="CH1844" s="4"/>
      <c r="CI1844" s="4"/>
      <c r="CJ1844" s="4"/>
      <c r="CK1844" s="4"/>
      <c r="CL1844" s="4"/>
      <c r="CM1844" s="4"/>
      <c r="CN1844" s="4"/>
      <c r="CO1844" s="4"/>
      <c r="CP1844" s="4"/>
      <c r="CQ1844" s="4"/>
      <c r="CR1844" s="4"/>
      <c r="CS1844" s="4"/>
      <c r="CT1844" s="4"/>
    </row>
    <row r="1845" spans="1:98" x14ac:dyDescent="0.25">
      <c r="A1845" s="2" t="s">
        <v>15</v>
      </c>
      <c r="B1845" s="2" t="str">
        <f>"FES1162769591"</f>
        <v>FES1162769591</v>
      </c>
      <c r="C1845" s="2" t="s">
        <v>1266</v>
      </c>
      <c r="D1845" s="2">
        <v>1</v>
      </c>
      <c r="E1845" s="2" t="str">
        <f>"2170756642"</f>
        <v>2170756642</v>
      </c>
      <c r="F1845" s="2" t="s">
        <v>17</v>
      </c>
      <c r="G1845" s="2" t="s">
        <v>18</v>
      </c>
      <c r="H1845" s="2" t="s">
        <v>25</v>
      </c>
      <c r="I1845" s="2" t="s">
        <v>26</v>
      </c>
      <c r="J1845" s="2" t="s">
        <v>27</v>
      </c>
      <c r="K1845" s="2" t="s">
        <v>1353</v>
      </c>
      <c r="L1845" s="3">
        <v>0.40416666666666662</v>
      </c>
      <c r="M1845" s="2" t="s">
        <v>521</v>
      </c>
      <c r="N1845" s="2" t="s">
        <v>500</v>
      </c>
      <c r="O1845" s="5"/>
      <c r="P1845" s="4"/>
      <c r="Q1845" s="4"/>
      <c r="R1845" s="4"/>
      <c r="S1845" s="4"/>
      <c r="T1845" s="4"/>
      <c r="U1845" s="4"/>
      <c r="V1845" s="4"/>
      <c r="W1845" s="4"/>
      <c r="X1845" s="4"/>
      <c r="Y1845" s="4"/>
      <c r="Z1845" s="4"/>
      <c r="AA1845" s="4"/>
      <c r="AB1845" s="4"/>
      <c r="AC1845" s="4"/>
      <c r="AD1845" s="4"/>
      <c r="AE1845" s="4"/>
      <c r="AF1845" s="4"/>
      <c r="AG1845" s="4"/>
      <c r="AH1845" s="4"/>
      <c r="AI1845" s="4"/>
      <c r="AJ1845" s="4"/>
      <c r="AK1845" s="4"/>
      <c r="AL1845" s="4"/>
      <c r="AM1845" s="4"/>
      <c r="AN1845" s="4"/>
      <c r="AO1845" s="4"/>
      <c r="AP1845" s="4"/>
      <c r="AQ1845" s="4"/>
      <c r="AR1845" s="4"/>
      <c r="AS1845" s="4"/>
      <c r="AT1845" s="4"/>
      <c r="AU1845" s="4"/>
      <c r="AV1845" s="4"/>
      <c r="AW1845" s="4"/>
      <c r="AX1845" s="4"/>
      <c r="AY1845" s="4"/>
      <c r="AZ1845" s="4"/>
      <c r="BA1845" s="4"/>
      <c r="BB1845" s="4"/>
      <c r="BC1845" s="4"/>
      <c r="BD1845" s="4"/>
      <c r="BE1845" s="4"/>
      <c r="BF1845" s="4"/>
      <c r="BG1845" s="4"/>
      <c r="BH1845" s="4"/>
      <c r="BI1845" s="4"/>
      <c r="BJ1845" s="4"/>
      <c r="BK1845" s="4"/>
      <c r="BL1845" s="4"/>
      <c r="BM1845" s="4"/>
      <c r="BN1845" s="4"/>
      <c r="BO1845" s="4"/>
      <c r="BP1845" s="4"/>
      <c r="BQ1845" s="4"/>
      <c r="BR1845" s="4"/>
      <c r="BS1845" s="4"/>
      <c r="BT1845" s="4"/>
      <c r="BU1845" s="4"/>
      <c r="BV1845" s="4"/>
      <c r="BW1845" s="4"/>
      <c r="BX1845" s="4"/>
      <c r="BY1845" s="4"/>
      <c r="BZ1845" s="4"/>
      <c r="CA1845" s="4"/>
      <c r="CB1845" s="4"/>
      <c r="CC1845" s="4"/>
      <c r="CD1845" s="4"/>
      <c r="CE1845" s="4"/>
      <c r="CF1845" s="4"/>
      <c r="CG1845" s="4"/>
      <c r="CH1845" s="4"/>
      <c r="CI1845" s="4"/>
      <c r="CJ1845" s="4"/>
      <c r="CK1845" s="4"/>
      <c r="CL1845" s="4"/>
      <c r="CM1845" s="4"/>
      <c r="CN1845" s="4"/>
      <c r="CO1845" s="4"/>
      <c r="CP1845" s="4"/>
      <c r="CQ1845" s="4"/>
      <c r="CR1845" s="4"/>
      <c r="CS1845" s="4"/>
      <c r="CT1845" s="4"/>
    </row>
    <row r="1846" spans="1:98" x14ac:dyDescent="0.25">
      <c r="A1846" s="5" t="s">
        <v>15</v>
      </c>
      <c r="B1846" s="5" t="str">
        <f>"FES1162769598"</f>
        <v>FES1162769598</v>
      </c>
      <c r="C1846" s="5" t="s">
        <v>1266</v>
      </c>
      <c r="D1846" s="5">
        <v>1</v>
      </c>
      <c r="E1846" s="5" t="str">
        <f>"2170756654"</f>
        <v>2170756654</v>
      </c>
      <c r="F1846" s="5" t="s">
        <v>17</v>
      </c>
      <c r="G1846" s="5" t="s">
        <v>18</v>
      </c>
      <c r="H1846" s="5" t="s">
        <v>25</v>
      </c>
      <c r="I1846" s="5" t="s">
        <v>624</v>
      </c>
      <c r="J1846" s="5" t="s">
        <v>625</v>
      </c>
      <c r="K1846" s="5" t="s">
        <v>1897</v>
      </c>
      <c r="L1846" s="9">
        <v>0.43472222222222223</v>
      </c>
      <c r="M1846" s="5" t="s">
        <v>2236</v>
      </c>
      <c r="N1846" s="5" t="s">
        <v>500</v>
      </c>
      <c r="O1846" s="5"/>
      <c r="P1846" s="4"/>
      <c r="Q1846" s="4"/>
      <c r="R1846" s="4"/>
      <c r="S1846" s="4"/>
      <c r="T1846" s="4"/>
      <c r="U1846" s="4"/>
      <c r="V1846" s="4"/>
      <c r="W1846" s="4"/>
      <c r="X1846" s="4"/>
      <c r="Y1846" s="4"/>
      <c r="Z1846" s="4"/>
      <c r="AA1846" s="4"/>
      <c r="AB1846" s="4"/>
      <c r="AC1846" s="4"/>
      <c r="AD1846" s="4"/>
      <c r="AE1846" s="4"/>
      <c r="AF1846" s="4"/>
      <c r="AG1846" s="4"/>
      <c r="AH1846" s="4"/>
      <c r="AI1846" s="4"/>
      <c r="AJ1846" s="4"/>
      <c r="AK1846" s="4"/>
      <c r="AL1846" s="4"/>
      <c r="AM1846" s="4"/>
      <c r="AN1846" s="4"/>
      <c r="AO1846" s="4"/>
      <c r="AP1846" s="4"/>
      <c r="AQ1846" s="4"/>
      <c r="AR1846" s="4"/>
      <c r="AS1846" s="4"/>
      <c r="AT1846" s="4"/>
      <c r="AU1846" s="4"/>
      <c r="AV1846" s="4"/>
      <c r="AW1846" s="4"/>
      <c r="AX1846" s="4"/>
      <c r="AY1846" s="4"/>
      <c r="AZ1846" s="4"/>
      <c r="BA1846" s="4"/>
      <c r="BB1846" s="4"/>
      <c r="BC1846" s="4"/>
      <c r="BD1846" s="4"/>
      <c r="BE1846" s="4"/>
      <c r="BF1846" s="4"/>
      <c r="BG1846" s="4"/>
      <c r="BH1846" s="4"/>
      <c r="BI1846" s="4"/>
      <c r="BJ1846" s="4"/>
      <c r="BK1846" s="4"/>
      <c r="BL1846" s="4"/>
      <c r="BM1846" s="4"/>
      <c r="BN1846" s="4"/>
      <c r="BO1846" s="4"/>
      <c r="BP1846" s="4"/>
      <c r="BQ1846" s="4"/>
      <c r="BR1846" s="4"/>
      <c r="BS1846" s="4"/>
      <c r="BT1846" s="4"/>
      <c r="BU1846" s="4"/>
      <c r="BV1846" s="4"/>
      <c r="BW1846" s="4"/>
      <c r="BX1846" s="4"/>
      <c r="BY1846" s="4"/>
      <c r="BZ1846" s="4"/>
      <c r="CA1846" s="4"/>
      <c r="CB1846" s="4"/>
      <c r="CC1846" s="4"/>
      <c r="CD1846" s="4"/>
      <c r="CE1846" s="4"/>
      <c r="CF1846" s="4"/>
      <c r="CG1846" s="4"/>
      <c r="CH1846" s="4"/>
      <c r="CI1846" s="4"/>
      <c r="CJ1846" s="4"/>
      <c r="CK1846" s="4"/>
      <c r="CL1846" s="4"/>
      <c r="CM1846" s="4"/>
      <c r="CN1846" s="4"/>
      <c r="CO1846" s="4"/>
      <c r="CP1846" s="4"/>
      <c r="CQ1846" s="4"/>
      <c r="CR1846" s="4"/>
      <c r="CS1846" s="4"/>
      <c r="CT1846" s="4"/>
    </row>
    <row r="1847" spans="1:98" x14ac:dyDescent="0.25">
      <c r="A1847" s="2" t="s">
        <v>15</v>
      </c>
      <c r="B1847" s="2" t="str">
        <f>"FES1162769576"</f>
        <v>FES1162769576</v>
      </c>
      <c r="C1847" s="2" t="s">
        <v>1266</v>
      </c>
      <c r="D1847" s="2">
        <v>1</v>
      </c>
      <c r="E1847" s="2" t="str">
        <f>"2170756609"</f>
        <v>2170756609</v>
      </c>
      <c r="F1847" s="2" t="s">
        <v>17</v>
      </c>
      <c r="G1847" s="2" t="s">
        <v>18</v>
      </c>
      <c r="H1847" s="2" t="s">
        <v>25</v>
      </c>
      <c r="I1847" s="2" t="s">
        <v>39</v>
      </c>
      <c r="J1847" s="2" t="s">
        <v>161</v>
      </c>
      <c r="K1847" s="2" t="s">
        <v>1353</v>
      </c>
      <c r="L1847" s="3">
        <v>0.50138888888888888</v>
      </c>
      <c r="M1847" s="2" t="s">
        <v>977</v>
      </c>
      <c r="N1847" s="2" t="s">
        <v>500</v>
      </c>
      <c r="O1847" s="5"/>
      <c r="P1847" s="4"/>
      <c r="Q1847" s="4"/>
      <c r="R1847" s="4"/>
      <c r="S1847" s="4"/>
      <c r="T1847" s="4"/>
      <c r="U1847" s="4"/>
      <c r="V1847" s="4"/>
      <c r="W1847" s="4"/>
      <c r="X1847" s="4"/>
      <c r="Y1847" s="4"/>
      <c r="Z1847" s="4"/>
      <c r="AA1847" s="4"/>
      <c r="AB1847" s="4"/>
      <c r="AC1847" s="4"/>
      <c r="AD1847" s="4"/>
      <c r="AE1847" s="4"/>
      <c r="AF1847" s="4"/>
      <c r="AG1847" s="4"/>
      <c r="AH1847" s="4"/>
      <c r="AI1847" s="4"/>
      <c r="AJ1847" s="4"/>
      <c r="AK1847" s="4"/>
      <c r="AL1847" s="4"/>
      <c r="AM1847" s="4"/>
      <c r="AN1847" s="4"/>
      <c r="AO1847" s="4"/>
      <c r="AP1847" s="4"/>
      <c r="AQ1847" s="4"/>
      <c r="AR1847" s="4"/>
      <c r="AS1847" s="4"/>
      <c r="AT1847" s="4"/>
      <c r="AU1847" s="4"/>
      <c r="AV1847" s="4"/>
      <c r="AW1847" s="4"/>
      <c r="AX1847" s="4"/>
      <c r="AY1847" s="4"/>
      <c r="AZ1847" s="4"/>
      <c r="BA1847" s="4"/>
      <c r="BB1847" s="4"/>
      <c r="BC1847" s="4"/>
      <c r="BD1847" s="4"/>
      <c r="BE1847" s="4"/>
      <c r="BF1847" s="4"/>
      <c r="BG1847" s="4"/>
      <c r="BH1847" s="4"/>
      <c r="BI1847" s="4"/>
      <c r="BJ1847" s="4"/>
      <c r="BK1847" s="4"/>
      <c r="BL1847" s="4"/>
      <c r="BM1847" s="4"/>
      <c r="BN1847" s="4"/>
      <c r="BO1847" s="4"/>
      <c r="BP1847" s="4"/>
      <c r="BQ1847" s="4"/>
      <c r="BR1847" s="4"/>
      <c r="BS1847" s="4"/>
      <c r="BT1847" s="4"/>
      <c r="BU1847" s="4"/>
      <c r="BV1847" s="4"/>
      <c r="BW1847" s="4"/>
      <c r="BX1847" s="4"/>
      <c r="BY1847" s="4"/>
      <c r="BZ1847" s="4"/>
      <c r="CA1847" s="4"/>
      <c r="CB1847" s="4"/>
      <c r="CC1847" s="4"/>
      <c r="CD1847" s="4"/>
      <c r="CE1847" s="4"/>
      <c r="CF1847" s="4"/>
      <c r="CG1847" s="4"/>
      <c r="CH1847" s="4"/>
      <c r="CI1847" s="4"/>
      <c r="CJ1847" s="4"/>
      <c r="CK1847" s="4"/>
      <c r="CL1847" s="4"/>
      <c r="CM1847" s="4"/>
      <c r="CN1847" s="4"/>
      <c r="CO1847" s="4"/>
      <c r="CP1847" s="4"/>
      <c r="CQ1847" s="4"/>
      <c r="CR1847" s="4"/>
      <c r="CS1847" s="4"/>
      <c r="CT1847" s="4"/>
    </row>
    <row r="1848" spans="1:98" x14ac:dyDescent="0.25">
      <c r="A1848" s="2" t="s">
        <v>15</v>
      </c>
      <c r="B1848" s="2" t="str">
        <f>"FES1162769580"</f>
        <v>FES1162769580</v>
      </c>
      <c r="C1848" s="2" t="s">
        <v>1266</v>
      </c>
      <c r="D1848" s="2">
        <v>1</v>
      </c>
      <c r="E1848" s="2" t="str">
        <f>"2170756617"</f>
        <v>2170756617</v>
      </c>
      <c r="F1848" s="2" t="s">
        <v>17</v>
      </c>
      <c r="G1848" s="2" t="s">
        <v>18</v>
      </c>
      <c r="H1848" s="2" t="s">
        <v>25</v>
      </c>
      <c r="I1848" s="2" t="s">
        <v>361</v>
      </c>
      <c r="J1848" s="2" t="s">
        <v>280</v>
      </c>
      <c r="K1848" s="2" t="s">
        <v>1353</v>
      </c>
      <c r="L1848" s="3">
        <v>0.41666666666666669</v>
      </c>
      <c r="M1848" s="2" t="s">
        <v>1379</v>
      </c>
      <c r="N1848" s="2" t="s">
        <v>500</v>
      </c>
      <c r="O1848" s="5"/>
      <c r="P1848" s="4"/>
      <c r="Q1848" s="4"/>
      <c r="R1848" s="4"/>
      <c r="S1848" s="4"/>
      <c r="T1848" s="4"/>
      <c r="U1848" s="4"/>
      <c r="V1848" s="4"/>
      <c r="W1848" s="4"/>
      <c r="X1848" s="4"/>
      <c r="Y1848" s="4"/>
      <c r="Z1848" s="4"/>
      <c r="AA1848" s="4"/>
      <c r="AB1848" s="4"/>
      <c r="AC1848" s="4"/>
      <c r="AD1848" s="4"/>
      <c r="AE1848" s="4"/>
      <c r="AF1848" s="4"/>
      <c r="AG1848" s="4"/>
      <c r="AH1848" s="4"/>
      <c r="AI1848" s="4"/>
      <c r="AJ1848" s="4"/>
      <c r="AK1848" s="4"/>
      <c r="AL1848" s="4"/>
      <c r="AM1848" s="4"/>
      <c r="AN1848" s="4"/>
      <c r="AO1848" s="4"/>
      <c r="AP1848" s="4"/>
      <c r="AQ1848" s="4"/>
      <c r="AR1848" s="4"/>
      <c r="AS1848" s="4"/>
      <c r="AT1848" s="4"/>
      <c r="AU1848" s="4"/>
      <c r="AV1848" s="4"/>
      <c r="AW1848" s="4"/>
      <c r="AX1848" s="4"/>
      <c r="AY1848" s="4"/>
      <c r="AZ1848" s="4"/>
      <c r="BA1848" s="4"/>
      <c r="BB1848" s="4"/>
      <c r="BC1848" s="4"/>
      <c r="BD1848" s="4"/>
      <c r="BE1848" s="4"/>
      <c r="BF1848" s="4"/>
      <c r="BG1848" s="4"/>
      <c r="BH1848" s="4"/>
      <c r="BI1848" s="4"/>
      <c r="BJ1848" s="4"/>
      <c r="BK1848" s="4"/>
      <c r="BL1848" s="4"/>
      <c r="BM1848" s="4"/>
      <c r="BN1848" s="4"/>
      <c r="BO1848" s="4"/>
      <c r="BP1848" s="4"/>
      <c r="BQ1848" s="4"/>
      <c r="BR1848" s="4"/>
      <c r="BS1848" s="4"/>
      <c r="BT1848" s="4"/>
      <c r="BU1848" s="4"/>
      <c r="BV1848" s="4"/>
      <c r="BW1848" s="4"/>
      <c r="BX1848" s="4"/>
      <c r="BY1848" s="4"/>
      <c r="BZ1848" s="4"/>
      <c r="CA1848" s="4"/>
      <c r="CB1848" s="4"/>
      <c r="CC1848" s="4"/>
      <c r="CD1848" s="4"/>
      <c r="CE1848" s="4"/>
      <c r="CF1848" s="4"/>
      <c r="CG1848" s="4"/>
      <c r="CH1848" s="4"/>
      <c r="CI1848" s="4"/>
      <c r="CJ1848" s="4"/>
      <c r="CK1848" s="4"/>
      <c r="CL1848" s="4"/>
      <c r="CM1848" s="4"/>
      <c r="CN1848" s="4"/>
      <c r="CO1848" s="4"/>
      <c r="CP1848" s="4"/>
      <c r="CQ1848" s="4"/>
      <c r="CR1848" s="4"/>
      <c r="CS1848" s="4"/>
      <c r="CT1848" s="4"/>
    </row>
    <row r="1849" spans="1:98" x14ac:dyDescent="0.25">
      <c r="A1849" s="2" t="s">
        <v>15</v>
      </c>
      <c r="B1849" s="2" t="str">
        <f>"FES1162769947"</f>
        <v>FES1162769947</v>
      </c>
      <c r="C1849" s="2" t="s">
        <v>1266</v>
      </c>
      <c r="D1849" s="2">
        <v>1</v>
      </c>
      <c r="E1849" s="2" t="str">
        <f>"2170755447"</f>
        <v>2170755447</v>
      </c>
      <c r="F1849" s="2" t="s">
        <v>17</v>
      </c>
      <c r="G1849" s="2" t="s">
        <v>18</v>
      </c>
      <c r="H1849" s="2" t="s">
        <v>18</v>
      </c>
      <c r="I1849" s="2" t="s">
        <v>57</v>
      </c>
      <c r="J1849" s="2" t="s">
        <v>58</v>
      </c>
      <c r="K1849" s="2" t="s">
        <v>1353</v>
      </c>
      <c r="L1849" s="3">
        <v>0.25208333333333333</v>
      </c>
      <c r="M1849" s="2" t="s">
        <v>1487</v>
      </c>
      <c r="N1849" s="2" t="s">
        <v>500</v>
      </c>
      <c r="O1849" s="5"/>
      <c r="P1849" s="4"/>
      <c r="Q1849" s="4"/>
      <c r="R1849" s="4"/>
      <c r="S1849" s="4"/>
      <c r="T1849" s="4"/>
      <c r="U1849" s="4"/>
      <c r="V1849" s="4"/>
      <c r="W1849" s="4"/>
      <c r="X1849" s="4"/>
      <c r="Y1849" s="4"/>
      <c r="Z1849" s="4"/>
      <c r="AA1849" s="4"/>
      <c r="AB1849" s="4"/>
      <c r="AC1849" s="4"/>
      <c r="AD1849" s="4"/>
      <c r="AE1849" s="4"/>
      <c r="AF1849" s="4"/>
      <c r="AG1849" s="4"/>
      <c r="AH1849" s="4"/>
      <c r="AI1849" s="4"/>
      <c r="AJ1849" s="4"/>
      <c r="AK1849" s="4"/>
      <c r="AL1849" s="4"/>
      <c r="AM1849" s="4"/>
      <c r="AN1849" s="4"/>
      <c r="AO1849" s="4"/>
      <c r="AP1849" s="4"/>
      <c r="AQ1849" s="4"/>
      <c r="AR1849" s="4"/>
      <c r="AS1849" s="4"/>
      <c r="AT1849" s="4"/>
      <c r="AU1849" s="4"/>
      <c r="AV1849" s="4"/>
      <c r="AW1849" s="4"/>
      <c r="AX1849" s="4"/>
      <c r="AY1849" s="4"/>
      <c r="AZ1849" s="4"/>
      <c r="BA1849" s="4"/>
      <c r="BB1849" s="4"/>
      <c r="BC1849" s="4"/>
      <c r="BD1849" s="4"/>
      <c r="BE1849" s="4"/>
      <c r="BF1849" s="4"/>
      <c r="BG1849" s="4"/>
      <c r="BH1849" s="4"/>
      <c r="BI1849" s="4"/>
      <c r="BJ1849" s="4"/>
      <c r="BK1849" s="4"/>
      <c r="BL1849" s="4"/>
      <c r="BM1849" s="4"/>
      <c r="BN1849" s="4"/>
      <c r="BO1849" s="4"/>
      <c r="BP1849" s="4"/>
      <c r="BQ1849" s="4"/>
      <c r="BR1849" s="4"/>
      <c r="BS1849" s="4"/>
      <c r="BT1849" s="4"/>
      <c r="BU1849" s="4"/>
      <c r="BV1849" s="4"/>
      <c r="BW1849" s="4"/>
      <c r="BX1849" s="4"/>
      <c r="BY1849" s="4"/>
      <c r="BZ1849" s="4"/>
      <c r="CA1849" s="4"/>
      <c r="CB1849" s="4"/>
      <c r="CC1849" s="4"/>
      <c r="CD1849" s="4"/>
      <c r="CE1849" s="4"/>
      <c r="CF1849" s="4"/>
      <c r="CG1849" s="4"/>
      <c r="CH1849" s="4"/>
      <c r="CI1849" s="4"/>
      <c r="CJ1849" s="4"/>
      <c r="CK1849" s="4"/>
      <c r="CL1849" s="4"/>
      <c r="CM1849" s="4"/>
      <c r="CN1849" s="4"/>
      <c r="CO1849" s="4"/>
      <c r="CP1849" s="4"/>
      <c r="CQ1849" s="4"/>
      <c r="CR1849" s="4"/>
      <c r="CS1849" s="4"/>
      <c r="CT1849" s="4"/>
    </row>
    <row r="1850" spans="1:98" x14ac:dyDescent="0.25">
      <c r="A1850" s="2" t="s">
        <v>15</v>
      </c>
      <c r="B1850" s="2" t="str">
        <f>"FES1162769790"</f>
        <v>FES1162769790</v>
      </c>
      <c r="C1850" s="2" t="s">
        <v>1266</v>
      </c>
      <c r="D1850" s="2">
        <v>1</v>
      </c>
      <c r="E1850" s="2" t="str">
        <f>"2170757029"</f>
        <v>2170757029</v>
      </c>
      <c r="F1850" s="2" t="s">
        <v>17</v>
      </c>
      <c r="G1850" s="2" t="s">
        <v>18</v>
      </c>
      <c r="H1850" s="2" t="s">
        <v>1406</v>
      </c>
      <c r="I1850" s="2" t="s">
        <v>1407</v>
      </c>
      <c r="J1850" s="2" t="s">
        <v>1408</v>
      </c>
      <c r="K1850" s="2" t="s">
        <v>1353</v>
      </c>
      <c r="L1850" s="3">
        <v>0.3888888888888889</v>
      </c>
      <c r="M1850" s="2" t="s">
        <v>1488</v>
      </c>
      <c r="N1850" s="2" t="s">
        <v>500</v>
      </c>
      <c r="O1850" s="5"/>
      <c r="P1850" s="4"/>
      <c r="Q1850" s="4"/>
      <c r="R1850" s="4"/>
      <c r="S1850" s="4"/>
      <c r="T1850" s="4"/>
      <c r="U1850" s="4"/>
      <c r="V1850" s="4"/>
      <c r="W1850" s="4"/>
      <c r="X1850" s="4"/>
      <c r="Y1850" s="4"/>
      <c r="Z1850" s="4"/>
      <c r="AA1850" s="4"/>
      <c r="AB1850" s="4"/>
      <c r="AC1850" s="4"/>
      <c r="AD1850" s="4"/>
      <c r="AE1850" s="4"/>
      <c r="AF1850" s="4"/>
      <c r="AG1850" s="4"/>
      <c r="AH1850" s="4"/>
      <c r="AI1850" s="4"/>
      <c r="AJ1850" s="4"/>
      <c r="AK1850" s="4"/>
      <c r="AL1850" s="4"/>
      <c r="AM1850" s="4"/>
      <c r="AN1850" s="4"/>
      <c r="AO1850" s="4"/>
      <c r="AP1850" s="4"/>
      <c r="AQ1850" s="4"/>
      <c r="AR1850" s="4"/>
      <c r="AS1850" s="4"/>
      <c r="AT1850" s="4"/>
      <c r="AU1850" s="4"/>
      <c r="AV1850" s="4"/>
      <c r="AW1850" s="4"/>
      <c r="AX1850" s="4"/>
      <c r="AY1850" s="4"/>
      <c r="AZ1850" s="4"/>
      <c r="BA1850" s="4"/>
      <c r="BB1850" s="4"/>
      <c r="BC1850" s="4"/>
      <c r="BD1850" s="4"/>
      <c r="BE1850" s="4"/>
      <c r="BF1850" s="4"/>
      <c r="BG1850" s="4"/>
      <c r="BH1850" s="4"/>
      <c r="BI1850" s="4"/>
      <c r="BJ1850" s="4"/>
      <c r="BK1850" s="4"/>
      <c r="BL1850" s="4"/>
      <c r="BM1850" s="4"/>
      <c r="BN1850" s="4"/>
      <c r="BO1850" s="4"/>
      <c r="BP1850" s="4"/>
      <c r="BQ1850" s="4"/>
      <c r="BR1850" s="4"/>
      <c r="BS1850" s="4"/>
      <c r="BT1850" s="4"/>
      <c r="BU1850" s="4"/>
      <c r="BV1850" s="4"/>
      <c r="BW1850" s="4"/>
      <c r="BX1850" s="4"/>
      <c r="BY1850" s="4"/>
      <c r="BZ1850" s="4"/>
      <c r="CA1850" s="4"/>
      <c r="CB1850" s="4"/>
      <c r="CC1850" s="4"/>
      <c r="CD1850" s="4"/>
      <c r="CE1850" s="4"/>
      <c r="CF1850" s="4"/>
      <c r="CG1850" s="4"/>
      <c r="CH1850" s="4"/>
      <c r="CI1850" s="4"/>
      <c r="CJ1850" s="4"/>
      <c r="CK1850" s="4"/>
      <c r="CL1850" s="4"/>
      <c r="CM1850" s="4"/>
      <c r="CN1850" s="4"/>
      <c r="CO1850" s="4"/>
      <c r="CP1850" s="4"/>
      <c r="CQ1850" s="4"/>
      <c r="CR1850" s="4"/>
      <c r="CS1850" s="4"/>
      <c r="CT1850" s="4"/>
    </row>
    <row r="1851" spans="1:98" x14ac:dyDescent="0.25">
      <c r="A1851" s="2" t="s">
        <v>15</v>
      </c>
      <c r="B1851" s="2" t="str">
        <f>"FES1162769708"</f>
        <v>FES1162769708</v>
      </c>
      <c r="C1851" s="2" t="s">
        <v>1266</v>
      </c>
      <c r="D1851" s="2">
        <v>1</v>
      </c>
      <c r="E1851" s="2" t="str">
        <f>"2170756848"</f>
        <v>2170756848</v>
      </c>
      <c r="F1851" s="2" t="s">
        <v>17</v>
      </c>
      <c r="G1851" s="2" t="s">
        <v>18</v>
      </c>
      <c r="H1851" s="2" t="s">
        <v>25</v>
      </c>
      <c r="I1851" s="2" t="s">
        <v>26</v>
      </c>
      <c r="J1851" s="2" t="s">
        <v>75</v>
      </c>
      <c r="K1851" s="2" t="s">
        <v>1353</v>
      </c>
      <c r="L1851" s="3">
        <v>0.39374999999999999</v>
      </c>
      <c r="M1851" s="2" t="s">
        <v>518</v>
      </c>
      <c r="N1851" s="2" t="s">
        <v>500</v>
      </c>
      <c r="O1851" s="5"/>
      <c r="P1851" s="4"/>
      <c r="Q1851" s="4"/>
      <c r="R1851" s="4"/>
      <c r="S1851" s="4"/>
      <c r="T1851" s="4"/>
      <c r="U1851" s="4"/>
      <c r="V1851" s="4"/>
      <c r="W1851" s="4"/>
      <c r="X1851" s="4"/>
      <c r="Y1851" s="4"/>
      <c r="Z1851" s="4"/>
      <c r="AA1851" s="4"/>
      <c r="AB1851" s="4"/>
      <c r="AC1851" s="4"/>
      <c r="AD1851" s="4"/>
      <c r="AE1851" s="4"/>
      <c r="AF1851" s="4"/>
      <c r="AG1851" s="4"/>
      <c r="AH1851" s="4"/>
      <c r="AI1851" s="4"/>
      <c r="AJ1851" s="4"/>
      <c r="AK1851" s="4"/>
      <c r="AL1851" s="4"/>
      <c r="AM1851" s="4"/>
      <c r="AN1851" s="4"/>
      <c r="AO1851" s="4"/>
      <c r="AP1851" s="4"/>
      <c r="AQ1851" s="4"/>
      <c r="AR1851" s="4"/>
      <c r="AS1851" s="4"/>
      <c r="AT1851" s="4"/>
      <c r="AU1851" s="4"/>
      <c r="AV1851" s="4"/>
      <c r="AW1851" s="4"/>
      <c r="AX1851" s="4"/>
      <c r="AY1851" s="4"/>
      <c r="AZ1851" s="4"/>
      <c r="BA1851" s="4"/>
      <c r="BB1851" s="4"/>
      <c r="BC1851" s="4"/>
      <c r="BD1851" s="4"/>
      <c r="BE1851" s="4"/>
      <c r="BF1851" s="4"/>
      <c r="BG1851" s="4"/>
      <c r="BH1851" s="4"/>
      <c r="BI1851" s="4"/>
      <c r="BJ1851" s="4"/>
      <c r="BK1851" s="4"/>
      <c r="BL1851" s="4"/>
      <c r="BM1851" s="4"/>
      <c r="BN1851" s="4"/>
      <c r="BO1851" s="4"/>
      <c r="BP1851" s="4"/>
      <c r="BQ1851" s="4"/>
      <c r="BR1851" s="4"/>
      <c r="BS1851" s="4"/>
      <c r="BT1851" s="4"/>
      <c r="BU1851" s="4"/>
      <c r="BV1851" s="4"/>
      <c r="BW1851" s="4"/>
      <c r="BX1851" s="4"/>
      <c r="BY1851" s="4"/>
      <c r="BZ1851" s="4"/>
      <c r="CA1851" s="4"/>
      <c r="CB1851" s="4"/>
      <c r="CC1851" s="4"/>
      <c r="CD1851" s="4"/>
      <c r="CE1851" s="4"/>
      <c r="CF1851" s="4"/>
      <c r="CG1851" s="4"/>
      <c r="CH1851" s="4"/>
      <c r="CI1851" s="4"/>
      <c r="CJ1851" s="4"/>
      <c r="CK1851" s="4"/>
      <c r="CL1851" s="4"/>
      <c r="CM1851" s="4"/>
      <c r="CN1851" s="4"/>
      <c r="CO1851" s="4"/>
      <c r="CP1851" s="4"/>
      <c r="CQ1851" s="4"/>
      <c r="CR1851" s="4"/>
      <c r="CS1851" s="4"/>
      <c r="CT1851" s="4"/>
    </row>
    <row r="1852" spans="1:98" x14ac:dyDescent="0.25">
      <c r="A1852" s="2" t="s">
        <v>15</v>
      </c>
      <c r="B1852" s="2" t="str">
        <f>"FES1162769730"</f>
        <v>FES1162769730</v>
      </c>
      <c r="C1852" s="2" t="s">
        <v>1266</v>
      </c>
      <c r="D1852" s="2">
        <v>1</v>
      </c>
      <c r="E1852" s="2" t="str">
        <f>"2170756903"</f>
        <v>2170756903</v>
      </c>
      <c r="F1852" s="2" t="s">
        <v>17</v>
      </c>
      <c r="G1852" s="2" t="s">
        <v>18</v>
      </c>
      <c r="H1852" s="2" t="s">
        <v>25</v>
      </c>
      <c r="I1852" s="2" t="s">
        <v>42</v>
      </c>
      <c r="J1852" s="2" t="s">
        <v>416</v>
      </c>
      <c r="K1852" s="2" t="s">
        <v>1353</v>
      </c>
      <c r="L1852" s="3">
        <v>0.62847222222222221</v>
      </c>
      <c r="M1852" s="2" t="s">
        <v>688</v>
      </c>
      <c r="N1852" s="2" t="s">
        <v>500</v>
      </c>
      <c r="O1852" s="5"/>
      <c r="P1852" s="4"/>
      <c r="Q1852" s="4"/>
      <c r="R1852" s="4"/>
      <c r="S1852" s="4"/>
      <c r="T1852" s="4"/>
      <c r="U1852" s="4"/>
      <c r="V1852" s="4"/>
      <c r="W1852" s="4"/>
      <c r="X1852" s="4"/>
      <c r="Y1852" s="4"/>
      <c r="Z1852" s="4"/>
      <c r="AA1852" s="4"/>
      <c r="AB1852" s="4"/>
      <c r="AC1852" s="4"/>
      <c r="AD1852" s="4"/>
      <c r="AE1852" s="4"/>
      <c r="AF1852" s="4"/>
      <c r="AG1852" s="4"/>
      <c r="AH1852" s="4"/>
      <c r="AI1852" s="4"/>
      <c r="AJ1852" s="4"/>
      <c r="AK1852" s="4"/>
      <c r="AL1852" s="4"/>
      <c r="AM1852" s="4"/>
      <c r="AN1852" s="4"/>
      <c r="AO1852" s="4"/>
      <c r="AP1852" s="4"/>
      <c r="AQ1852" s="4"/>
      <c r="AR1852" s="4"/>
      <c r="AS1852" s="4"/>
      <c r="AT1852" s="4"/>
      <c r="AU1852" s="4"/>
      <c r="AV1852" s="4"/>
      <c r="AW1852" s="4"/>
      <c r="AX1852" s="4"/>
      <c r="AY1852" s="4"/>
      <c r="AZ1852" s="4"/>
      <c r="BA1852" s="4"/>
      <c r="BB1852" s="4"/>
      <c r="BC1852" s="4"/>
      <c r="BD1852" s="4"/>
      <c r="BE1852" s="4"/>
      <c r="BF1852" s="4"/>
      <c r="BG1852" s="4"/>
      <c r="BH1852" s="4"/>
      <c r="BI1852" s="4"/>
      <c r="BJ1852" s="4"/>
      <c r="BK1852" s="4"/>
      <c r="BL1852" s="4"/>
      <c r="BM1852" s="4"/>
      <c r="BN1852" s="4"/>
      <c r="BO1852" s="4"/>
      <c r="BP1852" s="4"/>
      <c r="BQ1852" s="4"/>
      <c r="BR1852" s="4"/>
      <c r="BS1852" s="4"/>
      <c r="BT1852" s="4"/>
      <c r="BU1852" s="4"/>
      <c r="BV1852" s="4"/>
      <c r="BW1852" s="4"/>
      <c r="BX1852" s="4"/>
      <c r="BY1852" s="4"/>
      <c r="BZ1852" s="4"/>
      <c r="CA1852" s="4"/>
      <c r="CB1852" s="4"/>
      <c r="CC1852" s="4"/>
      <c r="CD1852" s="4"/>
      <c r="CE1852" s="4"/>
      <c r="CF1852" s="4"/>
      <c r="CG1852" s="4"/>
      <c r="CH1852" s="4"/>
      <c r="CI1852" s="4"/>
      <c r="CJ1852" s="4"/>
      <c r="CK1852" s="4"/>
      <c r="CL1852" s="4"/>
      <c r="CM1852" s="4"/>
      <c r="CN1852" s="4"/>
      <c r="CO1852" s="4"/>
      <c r="CP1852" s="4"/>
      <c r="CQ1852" s="4"/>
      <c r="CR1852" s="4"/>
      <c r="CS1852" s="4"/>
      <c r="CT1852" s="4"/>
    </row>
    <row r="1853" spans="1:98" x14ac:dyDescent="0.25">
      <c r="A1853" s="2" t="s">
        <v>15</v>
      </c>
      <c r="B1853" s="2" t="str">
        <f>"FES1162769940"</f>
        <v>FES1162769940</v>
      </c>
      <c r="C1853" s="2" t="s">
        <v>1266</v>
      </c>
      <c r="D1853" s="2">
        <v>1</v>
      </c>
      <c r="E1853" s="2" t="str">
        <f>"2170755385"</f>
        <v>2170755385</v>
      </c>
      <c r="F1853" s="2" t="s">
        <v>17</v>
      </c>
      <c r="G1853" s="2" t="s">
        <v>18</v>
      </c>
      <c r="H1853" s="2" t="s">
        <v>18</v>
      </c>
      <c r="I1853" s="2" t="s">
        <v>95</v>
      </c>
      <c r="J1853" s="2" t="s">
        <v>96</v>
      </c>
      <c r="K1853" s="2" t="s">
        <v>1353</v>
      </c>
      <c r="L1853" s="3">
        <v>0.41666666666666669</v>
      </c>
      <c r="M1853" s="2" t="s">
        <v>213</v>
      </c>
      <c r="N1853" s="2" t="s">
        <v>500</v>
      </c>
      <c r="O1853" s="5"/>
      <c r="P1853" s="4"/>
      <c r="Q1853" s="4"/>
      <c r="R1853" s="4"/>
      <c r="S1853" s="4"/>
      <c r="T1853" s="4"/>
      <c r="U1853" s="4"/>
      <c r="V1853" s="4"/>
      <c r="W1853" s="4"/>
      <c r="X1853" s="4"/>
      <c r="Y1853" s="4"/>
      <c r="Z1853" s="4"/>
      <c r="AA1853" s="4"/>
      <c r="AB1853" s="4"/>
      <c r="AC1853" s="4"/>
      <c r="AD1853" s="4"/>
      <c r="AE1853" s="4"/>
      <c r="AF1853" s="4"/>
      <c r="AG1853" s="4"/>
      <c r="AH1853" s="4"/>
      <c r="AI1853" s="4"/>
      <c r="AJ1853" s="4"/>
      <c r="AK1853" s="4"/>
      <c r="AL1853" s="4"/>
      <c r="AM1853" s="4"/>
      <c r="AN1853" s="4"/>
      <c r="AO1853" s="4"/>
      <c r="AP1853" s="4"/>
      <c r="AQ1853" s="4"/>
      <c r="AR1853" s="4"/>
      <c r="AS1853" s="4"/>
      <c r="AT1853" s="4"/>
      <c r="AU1853" s="4"/>
      <c r="AV1853" s="4"/>
      <c r="AW1853" s="4"/>
      <c r="AX1853" s="4"/>
      <c r="AY1853" s="4"/>
      <c r="AZ1853" s="4"/>
      <c r="BA1853" s="4"/>
      <c r="BB1853" s="4"/>
      <c r="BC1853" s="4"/>
      <c r="BD1853" s="4"/>
      <c r="BE1853" s="4"/>
      <c r="BF1853" s="4"/>
      <c r="BG1853" s="4"/>
      <c r="BH1853" s="4"/>
      <c r="BI1853" s="4"/>
      <c r="BJ1853" s="4"/>
      <c r="BK1853" s="4"/>
      <c r="BL1853" s="4"/>
      <c r="BM1853" s="4"/>
      <c r="BN1853" s="4"/>
      <c r="BO1853" s="4"/>
      <c r="BP1853" s="4"/>
      <c r="BQ1853" s="4"/>
      <c r="BR1853" s="4"/>
      <c r="BS1853" s="4"/>
      <c r="BT1853" s="4"/>
      <c r="BU1853" s="4"/>
      <c r="BV1853" s="4"/>
      <c r="BW1853" s="4"/>
      <c r="BX1853" s="4"/>
      <c r="BY1853" s="4"/>
      <c r="BZ1853" s="4"/>
      <c r="CA1853" s="4"/>
      <c r="CB1853" s="4"/>
      <c r="CC1853" s="4"/>
      <c r="CD1853" s="4"/>
      <c r="CE1853" s="4"/>
      <c r="CF1853" s="4"/>
      <c r="CG1853" s="4"/>
      <c r="CH1853" s="4"/>
      <c r="CI1853" s="4"/>
      <c r="CJ1853" s="4"/>
      <c r="CK1853" s="4"/>
      <c r="CL1853" s="4"/>
      <c r="CM1853" s="4"/>
      <c r="CN1853" s="4"/>
      <c r="CO1853" s="4"/>
      <c r="CP1853" s="4"/>
      <c r="CQ1853" s="4"/>
      <c r="CR1853" s="4"/>
      <c r="CS1853" s="4"/>
      <c r="CT1853" s="4"/>
    </row>
    <row r="1854" spans="1:98" x14ac:dyDescent="0.25">
      <c r="A1854" s="2" t="s">
        <v>15</v>
      </c>
      <c r="B1854" s="2" t="str">
        <f>"FES1162769833"</f>
        <v>FES1162769833</v>
      </c>
      <c r="C1854" s="2" t="s">
        <v>1266</v>
      </c>
      <c r="D1854" s="2">
        <v>1</v>
      </c>
      <c r="E1854" s="2" t="str">
        <f>"2170757101"</f>
        <v>2170757101</v>
      </c>
      <c r="F1854" s="2" t="s">
        <v>17</v>
      </c>
      <c r="G1854" s="2" t="s">
        <v>18</v>
      </c>
      <c r="H1854" s="2" t="s">
        <v>18</v>
      </c>
      <c r="I1854" s="2" t="s">
        <v>57</v>
      </c>
      <c r="J1854" s="2" t="s">
        <v>1313</v>
      </c>
      <c r="K1854" s="2" t="s">
        <v>1353</v>
      </c>
      <c r="L1854" s="3">
        <v>0.33888888888888885</v>
      </c>
      <c r="M1854" s="2" t="s">
        <v>1489</v>
      </c>
      <c r="N1854" s="2" t="s">
        <v>500</v>
      </c>
      <c r="O1854" s="5"/>
      <c r="P1854" s="4"/>
      <c r="Q1854" s="4"/>
      <c r="R1854" s="4"/>
      <c r="S1854" s="4"/>
      <c r="T1854" s="4"/>
      <c r="U1854" s="4"/>
      <c r="V1854" s="4"/>
      <c r="W1854" s="4"/>
      <c r="X1854" s="4"/>
      <c r="Y1854" s="4"/>
      <c r="Z1854" s="4"/>
      <c r="AA1854" s="4"/>
      <c r="AB1854" s="4"/>
      <c r="AC1854" s="4"/>
      <c r="AD1854" s="4"/>
      <c r="AE1854" s="4"/>
      <c r="AF1854" s="4"/>
      <c r="AG1854" s="4"/>
      <c r="AH1854" s="4"/>
      <c r="AI1854" s="4"/>
      <c r="AJ1854" s="4"/>
      <c r="AK1854" s="4"/>
      <c r="AL1854" s="4"/>
      <c r="AM1854" s="4"/>
      <c r="AN1854" s="4"/>
      <c r="AO1854" s="4"/>
      <c r="AP1854" s="4"/>
      <c r="AQ1854" s="4"/>
      <c r="AR1854" s="4"/>
      <c r="AS1854" s="4"/>
      <c r="AT1854" s="4"/>
      <c r="AU1854" s="4"/>
      <c r="AV1854" s="4"/>
      <c r="AW1854" s="4"/>
      <c r="AX1854" s="4"/>
      <c r="AY1854" s="4"/>
      <c r="AZ1854" s="4"/>
      <c r="BA1854" s="4"/>
      <c r="BB1854" s="4"/>
      <c r="BC1854" s="4"/>
      <c r="BD1854" s="4"/>
      <c r="BE1854" s="4"/>
      <c r="BF1854" s="4"/>
      <c r="BG1854" s="4"/>
      <c r="BH1854" s="4"/>
      <c r="BI1854" s="4"/>
      <c r="BJ1854" s="4"/>
      <c r="BK1854" s="4"/>
      <c r="BL1854" s="4"/>
      <c r="BM1854" s="4"/>
      <c r="BN1854" s="4"/>
      <c r="BO1854" s="4"/>
      <c r="BP1854" s="4"/>
      <c r="BQ1854" s="4"/>
      <c r="BR1854" s="4"/>
      <c r="BS1854" s="4"/>
      <c r="BT1854" s="4"/>
      <c r="BU1854" s="4"/>
      <c r="BV1854" s="4"/>
      <c r="BW1854" s="4"/>
      <c r="BX1854" s="4"/>
      <c r="BY1854" s="4"/>
      <c r="BZ1854" s="4"/>
      <c r="CA1854" s="4"/>
      <c r="CB1854" s="4"/>
      <c r="CC1854" s="4"/>
      <c r="CD1854" s="4"/>
      <c r="CE1854" s="4"/>
      <c r="CF1854" s="4"/>
      <c r="CG1854" s="4"/>
      <c r="CH1854" s="4"/>
      <c r="CI1854" s="4"/>
      <c r="CJ1854" s="4"/>
      <c r="CK1854" s="4"/>
      <c r="CL1854" s="4"/>
      <c r="CM1854" s="4"/>
      <c r="CN1854" s="4"/>
      <c r="CO1854" s="4"/>
      <c r="CP1854" s="4"/>
      <c r="CQ1854" s="4"/>
      <c r="CR1854" s="4"/>
      <c r="CS1854" s="4"/>
      <c r="CT1854" s="4"/>
    </row>
    <row r="1855" spans="1:98" x14ac:dyDescent="0.25">
      <c r="A1855" s="2" t="s">
        <v>15</v>
      </c>
      <c r="B1855" s="2" t="str">
        <f>"FES1162769582"</f>
        <v>FES1162769582</v>
      </c>
      <c r="C1855" s="2" t="s">
        <v>1266</v>
      </c>
      <c r="D1855" s="2">
        <v>1</v>
      </c>
      <c r="E1855" s="2" t="str">
        <f>"2170756625"</f>
        <v>2170756625</v>
      </c>
      <c r="F1855" s="2" t="s">
        <v>17</v>
      </c>
      <c r="G1855" s="2" t="s">
        <v>18</v>
      </c>
      <c r="H1855" s="2" t="s">
        <v>25</v>
      </c>
      <c r="I1855" s="2" t="s">
        <v>26</v>
      </c>
      <c r="J1855" s="2" t="s">
        <v>1146</v>
      </c>
      <c r="K1855" s="2" t="s">
        <v>1353</v>
      </c>
      <c r="L1855" s="3">
        <v>0.44236111111111115</v>
      </c>
      <c r="M1855" s="2" t="s">
        <v>1209</v>
      </c>
      <c r="N1855" s="2" t="s">
        <v>500</v>
      </c>
      <c r="O1855" s="5"/>
      <c r="P1855" s="4"/>
      <c r="Q1855" s="4"/>
      <c r="R1855" s="4"/>
      <c r="S1855" s="4"/>
      <c r="T1855" s="4"/>
      <c r="U1855" s="4"/>
      <c r="V1855" s="4"/>
      <c r="W1855" s="4"/>
      <c r="X1855" s="4"/>
      <c r="Y1855" s="4"/>
      <c r="Z1855" s="4"/>
      <c r="AA1855" s="4"/>
      <c r="AB1855" s="4"/>
      <c r="AC1855" s="4"/>
      <c r="AD1855" s="4"/>
      <c r="AE1855" s="4"/>
      <c r="AF1855" s="4"/>
      <c r="AG1855" s="4"/>
      <c r="AH1855" s="4"/>
      <c r="AI1855" s="4"/>
      <c r="AJ1855" s="4"/>
      <c r="AK1855" s="4"/>
      <c r="AL1855" s="4"/>
      <c r="AM1855" s="4"/>
      <c r="AN1855" s="4"/>
      <c r="AO1855" s="4"/>
      <c r="AP1855" s="4"/>
      <c r="AQ1855" s="4"/>
      <c r="AR1855" s="4"/>
      <c r="AS1855" s="4"/>
      <c r="AT1855" s="4"/>
      <c r="AU1855" s="4"/>
      <c r="AV1855" s="4"/>
      <c r="AW1855" s="4"/>
      <c r="AX1855" s="4"/>
      <c r="AY1855" s="4"/>
      <c r="AZ1855" s="4"/>
      <c r="BA1855" s="4"/>
      <c r="BB1855" s="4"/>
      <c r="BC1855" s="4"/>
      <c r="BD1855" s="4"/>
      <c r="BE1855" s="4"/>
      <c r="BF1855" s="4"/>
      <c r="BG1855" s="4"/>
      <c r="BH1855" s="4"/>
      <c r="BI1855" s="4"/>
      <c r="BJ1855" s="4"/>
      <c r="BK1855" s="4"/>
      <c r="BL1855" s="4"/>
      <c r="BM1855" s="4"/>
      <c r="BN1855" s="4"/>
      <c r="BO1855" s="4"/>
      <c r="BP1855" s="4"/>
      <c r="BQ1855" s="4"/>
      <c r="BR1855" s="4"/>
      <c r="BS1855" s="4"/>
      <c r="BT1855" s="4"/>
      <c r="BU1855" s="4"/>
      <c r="BV1855" s="4"/>
      <c r="BW1855" s="4"/>
      <c r="BX1855" s="4"/>
      <c r="BY1855" s="4"/>
      <c r="BZ1855" s="4"/>
      <c r="CA1855" s="4"/>
      <c r="CB1855" s="4"/>
      <c r="CC1855" s="4"/>
      <c r="CD1855" s="4"/>
      <c r="CE1855" s="4"/>
      <c r="CF1855" s="4"/>
      <c r="CG1855" s="4"/>
      <c r="CH1855" s="4"/>
      <c r="CI1855" s="4"/>
      <c r="CJ1855" s="4"/>
      <c r="CK1855" s="4"/>
      <c r="CL1855" s="4"/>
      <c r="CM1855" s="4"/>
      <c r="CN1855" s="4"/>
      <c r="CO1855" s="4"/>
      <c r="CP1855" s="4"/>
      <c r="CQ1855" s="4"/>
      <c r="CR1855" s="4"/>
      <c r="CS1855" s="4"/>
      <c r="CT1855" s="4"/>
    </row>
    <row r="1856" spans="1:98" x14ac:dyDescent="0.25">
      <c r="A1856" s="2" t="s">
        <v>15</v>
      </c>
      <c r="B1856" s="2" t="str">
        <f>"FES1162769660"</f>
        <v>FES1162769660</v>
      </c>
      <c r="C1856" s="2" t="s">
        <v>1266</v>
      </c>
      <c r="D1856" s="2">
        <v>1</v>
      </c>
      <c r="E1856" s="2" t="str">
        <f>"2170756757"</f>
        <v>2170756757</v>
      </c>
      <c r="F1856" s="2" t="s">
        <v>17</v>
      </c>
      <c r="G1856" s="2" t="s">
        <v>18</v>
      </c>
      <c r="H1856" s="2" t="s">
        <v>19</v>
      </c>
      <c r="I1856" s="2" t="s">
        <v>20</v>
      </c>
      <c r="J1856" s="2" t="s">
        <v>123</v>
      </c>
      <c r="K1856" s="2" t="s">
        <v>1353</v>
      </c>
      <c r="L1856" s="3">
        <v>0.41041666666666665</v>
      </c>
      <c r="M1856" s="2" t="s">
        <v>1490</v>
      </c>
      <c r="N1856" s="2" t="s">
        <v>500</v>
      </c>
      <c r="O1856" s="5"/>
      <c r="P1856" s="4"/>
      <c r="Q1856" s="4"/>
      <c r="R1856" s="4"/>
      <c r="S1856" s="4"/>
      <c r="T1856" s="4"/>
      <c r="U1856" s="4"/>
      <c r="V1856" s="4"/>
      <c r="W1856" s="4"/>
      <c r="X1856" s="4"/>
      <c r="Y1856" s="4"/>
      <c r="Z1856" s="4"/>
      <c r="AA1856" s="4"/>
      <c r="AB1856" s="4"/>
      <c r="AC1856" s="4"/>
      <c r="AD1856" s="4"/>
      <c r="AE1856" s="4"/>
      <c r="AF1856" s="4"/>
      <c r="AG1856" s="4"/>
      <c r="AH1856" s="4"/>
      <c r="AI1856" s="4"/>
      <c r="AJ1856" s="4"/>
      <c r="AK1856" s="4"/>
      <c r="AL1856" s="4"/>
      <c r="AM1856" s="4"/>
      <c r="AN1856" s="4"/>
      <c r="AO1856" s="4"/>
      <c r="AP1856" s="4"/>
      <c r="AQ1856" s="4"/>
      <c r="AR1856" s="4"/>
      <c r="AS1856" s="4"/>
      <c r="AT1856" s="4"/>
      <c r="AU1856" s="4"/>
      <c r="AV1856" s="4"/>
      <c r="AW1856" s="4"/>
      <c r="AX1856" s="4"/>
      <c r="AY1856" s="4"/>
      <c r="AZ1856" s="4"/>
      <c r="BA1856" s="4"/>
      <c r="BB1856" s="4"/>
      <c r="BC1856" s="4"/>
      <c r="BD1856" s="4"/>
      <c r="BE1856" s="4"/>
      <c r="BF1856" s="4"/>
      <c r="BG1856" s="4"/>
      <c r="BH1856" s="4"/>
      <c r="BI1856" s="4"/>
      <c r="BJ1856" s="4"/>
      <c r="BK1856" s="4"/>
      <c r="BL1856" s="4"/>
      <c r="BM1856" s="4"/>
      <c r="BN1856" s="4"/>
      <c r="BO1856" s="4"/>
      <c r="BP1856" s="4"/>
      <c r="BQ1856" s="4"/>
      <c r="BR1856" s="4"/>
      <c r="BS1856" s="4"/>
      <c r="BT1856" s="4"/>
      <c r="BU1856" s="4"/>
      <c r="BV1856" s="4"/>
      <c r="BW1856" s="4"/>
      <c r="BX1856" s="4"/>
      <c r="BY1856" s="4"/>
      <c r="BZ1856" s="4"/>
      <c r="CA1856" s="4"/>
      <c r="CB1856" s="4"/>
      <c r="CC1856" s="4"/>
      <c r="CD1856" s="4"/>
      <c r="CE1856" s="4"/>
      <c r="CF1856" s="4"/>
      <c r="CG1856" s="4"/>
      <c r="CH1856" s="4"/>
      <c r="CI1856" s="4"/>
      <c r="CJ1856" s="4"/>
      <c r="CK1856" s="4"/>
      <c r="CL1856" s="4"/>
      <c r="CM1856" s="4"/>
      <c r="CN1856" s="4"/>
      <c r="CO1856" s="4"/>
      <c r="CP1856" s="4"/>
      <c r="CQ1856" s="4"/>
      <c r="CR1856" s="4"/>
      <c r="CS1856" s="4"/>
      <c r="CT1856" s="4"/>
    </row>
    <row r="1857" spans="1:98" x14ac:dyDescent="0.25">
      <c r="A1857" s="2" t="s">
        <v>15</v>
      </c>
      <c r="B1857" s="2" t="str">
        <f>"FES1162769952"</f>
        <v>FES1162769952</v>
      </c>
      <c r="C1857" s="2" t="s">
        <v>1266</v>
      </c>
      <c r="D1857" s="2">
        <v>1</v>
      </c>
      <c r="E1857" s="2" t="str">
        <f>"2170755512"</f>
        <v>2170755512</v>
      </c>
      <c r="F1857" s="2" t="s">
        <v>17</v>
      </c>
      <c r="G1857" s="2" t="s">
        <v>18</v>
      </c>
      <c r="H1857" s="2" t="s">
        <v>19</v>
      </c>
      <c r="I1857" s="2" t="s">
        <v>130</v>
      </c>
      <c r="J1857" s="2" t="s">
        <v>131</v>
      </c>
      <c r="K1857" s="2" t="s">
        <v>1353</v>
      </c>
      <c r="L1857" s="3">
        <v>0.39861111111111108</v>
      </c>
      <c r="M1857" s="2" t="s">
        <v>236</v>
      </c>
      <c r="N1857" s="2" t="s">
        <v>500</v>
      </c>
      <c r="O1857" s="5"/>
      <c r="P1857" s="4"/>
      <c r="Q1857" s="4"/>
      <c r="R1857" s="4"/>
      <c r="S1857" s="4"/>
      <c r="T1857" s="4"/>
      <c r="U1857" s="4"/>
      <c r="V1857" s="4"/>
      <c r="W1857" s="4"/>
      <c r="X1857" s="4"/>
      <c r="Y1857" s="4"/>
      <c r="Z1857" s="4"/>
      <c r="AA1857" s="4"/>
      <c r="AB1857" s="4"/>
      <c r="AC1857" s="4"/>
      <c r="AD1857" s="4"/>
      <c r="AE1857" s="4"/>
      <c r="AF1857" s="4"/>
      <c r="AG1857" s="4"/>
      <c r="AH1857" s="4"/>
      <c r="AI1857" s="4"/>
      <c r="AJ1857" s="4"/>
      <c r="AK1857" s="4"/>
      <c r="AL1857" s="4"/>
      <c r="AM1857" s="4"/>
      <c r="AN1857" s="4"/>
      <c r="AO1857" s="4"/>
      <c r="AP1857" s="4"/>
      <c r="AQ1857" s="4"/>
      <c r="AR1857" s="4"/>
      <c r="AS1857" s="4"/>
      <c r="AT1857" s="4"/>
      <c r="AU1857" s="4"/>
      <c r="AV1857" s="4"/>
      <c r="AW1857" s="4"/>
      <c r="AX1857" s="4"/>
      <c r="AY1857" s="4"/>
      <c r="AZ1857" s="4"/>
      <c r="BA1857" s="4"/>
      <c r="BB1857" s="4"/>
      <c r="BC1857" s="4"/>
      <c r="BD1857" s="4"/>
      <c r="BE1857" s="4"/>
      <c r="BF1857" s="4"/>
      <c r="BG1857" s="4"/>
      <c r="BH1857" s="4"/>
      <c r="BI1857" s="4"/>
      <c r="BJ1857" s="4"/>
      <c r="BK1857" s="4"/>
      <c r="BL1857" s="4"/>
      <c r="BM1857" s="4"/>
      <c r="BN1857" s="4"/>
      <c r="BO1857" s="4"/>
      <c r="BP1857" s="4"/>
      <c r="BQ1857" s="4"/>
      <c r="BR1857" s="4"/>
      <c r="BS1857" s="4"/>
      <c r="BT1857" s="4"/>
      <c r="BU1857" s="4"/>
      <c r="BV1857" s="4"/>
      <c r="BW1857" s="4"/>
      <c r="BX1857" s="4"/>
      <c r="BY1857" s="4"/>
      <c r="BZ1857" s="4"/>
      <c r="CA1857" s="4"/>
      <c r="CB1857" s="4"/>
      <c r="CC1857" s="4"/>
      <c r="CD1857" s="4"/>
      <c r="CE1857" s="4"/>
      <c r="CF1857" s="4"/>
      <c r="CG1857" s="4"/>
      <c r="CH1857" s="4"/>
      <c r="CI1857" s="4"/>
      <c r="CJ1857" s="4"/>
      <c r="CK1857" s="4"/>
      <c r="CL1857" s="4"/>
      <c r="CM1857" s="4"/>
      <c r="CN1857" s="4"/>
      <c r="CO1857" s="4"/>
      <c r="CP1857" s="4"/>
      <c r="CQ1857" s="4"/>
      <c r="CR1857" s="4"/>
      <c r="CS1857" s="4"/>
      <c r="CT1857" s="4"/>
    </row>
    <row r="1858" spans="1:98" x14ac:dyDescent="0.25">
      <c r="A1858" s="2" t="s">
        <v>15</v>
      </c>
      <c r="B1858" s="2" t="str">
        <f>"FES1162769787"</f>
        <v>FES1162769787</v>
      </c>
      <c r="C1858" s="2" t="s">
        <v>1266</v>
      </c>
      <c r="D1858" s="2">
        <v>1</v>
      </c>
      <c r="E1858" s="2" t="str">
        <f>"2170757024"</f>
        <v>2170757024</v>
      </c>
      <c r="F1858" s="2" t="s">
        <v>17</v>
      </c>
      <c r="G1858" s="2" t="s">
        <v>18</v>
      </c>
      <c r="H1858" s="2" t="s">
        <v>19</v>
      </c>
      <c r="I1858" s="2" t="s">
        <v>20</v>
      </c>
      <c r="J1858" s="2" t="s">
        <v>1321</v>
      </c>
      <c r="K1858" s="2" t="s">
        <v>1353</v>
      </c>
      <c r="L1858" s="3">
        <v>0.4201388888888889</v>
      </c>
      <c r="M1858" s="2" t="s">
        <v>1491</v>
      </c>
      <c r="N1858" s="2" t="s">
        <v>500</v>
      </c>
      <c r="O1858" s="5"/>
      <c r="P1858" s="4"/>
      <c r="Q1858" s="4"/>
      <c r="R1858" s="4"/>
      <c r="S1858" s="4"/>
      <c r="T1858" s="4"/>
      <c r="U1858" s="4"/>
      <c r="V1858" s="4"/>
      <c r="W1858" s="4"/>
      <c r="X1858" s="4"/>
      <c r="Y1858" s="4"/>
      <c r="Z1858" s="4"/>
      <c r="AA1858" s="4"/>
      <c r="AB1858" s="4"/>
      <c r="AC1858" s="4"/>
      <c r="AD1858" s="4"/>
      <c r="AE1858" s="4"/>
      <c r="AF1858" s="4"/>
      <c r="AG1858" s="4"/>
      <c r="AH1858" s="4"/>
      <c r="AI1858" s="4"/>
      <c r="AJ1858" s="4"/>
      <c r="AK1858" s="4"/>
      <c r="AL1858" s="4"/>
      <c r="AM1858" s="4"/>
      <c r="AN1858" s="4"/>
      <c r="AO1858" s="4"/>
      <c r="AP1858" s="4"/>
      <c r="AQ1858" s="4"/>
      <c r="AR1858" s="4"/>
      <c r="AS1858" s="4"/>
      <c r="AT1858" s="4"/>
      <c r="AU1858" s="4"/>
      <c r="AV1858" s="4"/>
      <c r="AW1858" s="4"/>
      <c r="AX1858" s="4"/>
      <c r="AY1858" s="4"/>
      <c r="AZ1858" s="4"/>
      <c r="BA1858" s="4"/>
      <c r="BB1858" s="4"/>
      <c r="BC1858" s="4"/>
      <c r="BD1858" s="4"/>
      <c r="BE1858" s="4"/>
      <c r="BF1858" s="4"/>
      <c r="BG1858" s="4"/>
      <c r="BH1858" s="4"/>
      <c r="BI1858" s="4"/>
      <c r="BJ1858" s="4"/>
      <c r="BK1858" s="4"/>
      <c r="BL1858" s="4"/>
      <c r="BM1858" s="4"/>
      <c r="BN1858" s="4"/>
      <c r="BO1858" s="4"/>
      <c r="BP1858" s="4"/>
      <c r="BQ1858" s="4"/>
      <c r="BR1858" s="4"/>
      <c r="BS1858" s="4"/>
      <c r="BT1858" s="4"/>
      <c r="BU1858" s="4"/>
      <c r="BV1858" s="4"/>
      <c r="BW1858" s="4"/>
      <c r="BX1858" s="4"/>
      <c r="BY1858" s="4"/>
      <c r="BZ1858" s="4"/>
      <c r="CA1858" s="4"/>
      <c r="CB1858" s="4"/>
      <c r="CC1858" s="4"/>
      <c r="CD1858" s="4"/>
      <c r="CE1858" s="4"/>
      <c r="CF1858" s="4"/>
      <c r="CG1858" s="4"/>
      <c r="CH1858" s="4"/>
      <c r="CI1858" s="4"/>
      <c r="CJ1858" s="4"/>
      <c r="CK1858" s="4"/>
      <c r="CL1858" s="4"/>
      <c r="CM1858" s="4"/>
      <c r="CN1858" s="4"/>
      <c r="CO1858" s="4"/>
      <c r="CP1858" s="4"/>
      <c r="CQ1858" s="4"/>
      <c r="CR1858" s="4"/>
      <c r="CS1858" s="4"/>
      <c r="CT1858" s="4"/>
    </row>
    <row r="1859" spans="1:98" x14ac:dyDescent="0.25">
      <c r="A1859" s="2" t="s">
        <v>15</v>
      </c>
      <c r="B1859" s="2" t="str">
        <f>"FES1162769837"</f>
        <v>FES1162769837</v>
      </c>
      <c r="C1859" s="2" t="s">
        <v>1266</v>
      </c>
      <c r="D1859" s="2">
        <v>1</v>
      </c>
      <c r="E1859" s="2" t="str">
        <f>"2170757106"</f>
        <v>2170757106</v>
      </c>
      <c r="F1859" s="2" t="s">
        <v>17</v>
      </c>
      <c r="G1859" s="2" t="s">
        <v>18</v>
      </c>
      <c r="H1859" s="2" t="s">
        <v>19</v>
      </c>
      <c r="I1859" s="2" t="s">
        <v>73</v>
      </c>
      <c r="J1859" s="2" t="s">
        <v>76</v>
      </c>
      <c r="K1859" s="2" t="s">
        <v>1353</v>
      </c>
      <c r="L1859" s="3">
        <v>0.40486111111111112</v>
      </c>
      <c r="M1859" s="2" t="s">
        <v>1067</v>
      </c>
      <c r="N1859" s="2" t="s">
        <v>500</v>
      </c>
      <c r="O1859" s="5"/>
      <c r="P1859" s="4"/>
      <c r="Q1859" s="4"/>
      <c r="R1859" s="4"/>
      <c r="S1859" s="4"/>
      <c r="T1859" s="4"/>
      <c r="U1859" s="4"/>
      <c r="V1859" s="4"/>
      <c r="W1859" s="4"/>
      <c r="X1859" s="4"/>
      <c r="Y1859" s="4"/>
      <c r="Z1859" s="4"/>
      <c r="AA1859" s="4"/>
      <c r="AB1859" s="4"/>
      <c r="AC1859" s="4"/>
      <c r="AD1859" s="4"/>
      <c r="AE1859" s="4"/>
      <c r="AF1859" s="4"/>
      <c r="AG1859" s="4"/>
      <c r="AH1859" s="4"/>
      <c r="AI1859" s="4"/>
      <c r="AJ1859" s="4"/>
      <c r="AK1859" s="4"/>
      <c r="AL1859" s="4"/>
      <c r="AM1859" s="4"/>
      <c r="AN1859" s="4"/>
      <c r="AO1859" s="4"/>
      <c r="AP1859" s="4"/>
      <c r="AQ1859" s="4"/>
      <c r="AR1859" s="4"/>
      <c r="AS1859" s="4"/>
      <c r="AT1859" s="4"/>
      <c r="AU1859" s="4"/>
      <c r="AV1859" s="4"/>
      <c r="AW1859" s="4"/>
      <c r="AX1859" s="4"/>
      <c r="AY1859" s="4"/>
      <c r="AZ1859" s="4"/>
      <c r="BA1859" s="4"/>
      <c r="BB1859" s="4"/>
      <c r="BC1859" s="4"/>
      <c r="BD1859" s="4"/>
      <c r="BE1859" s="4"/>
      <c r="BF1859" s="4"/>
      <c r="BG1859" s="4"/>
      <c r="BH1859" s="4"/>
      <c r="BI1859" s="4"/>
      <c r="BJ1859" s="4"/>
      <c r="BK1859" s="4"/>
      <c r="BL1859" s="4"/>
      <c r="BM1859" s="4"/>
      <c r="BN1859" s="4"/>
      <c r="BO1859" s="4"/>
      <c r="BP1859" s="4"/>
      <c r="BQ1859" s="4"/>
      <c r="BR1859" s="4"/>
      <c r="BS1859" s="4"/>
      <c r="BT1859" s="4"/>
      <c r="BU1859" s="4"/>
      <c r="BV1859" s="4"/>
      <c r="BW1859" s="4"/>
      <c r="BX1859" s="4"/>
      <c r="BY1859" s="4"/>
      <c r="BZ1859" s="4"/>
      <c r="CA1859" s="4"/>
      <c r="CB1859" s="4"/>
      <c r="CC1859" s="4"/>
      <c r="CD1859" s="4"/>
      <c r="CE1859" s="4"/>
      <c r="CF1859" s="4"/>
      <c r="CG1859" s="4"/>
      <c r="CH1859" s="4"/>
      <c r="CI1859" s="4"/>
      <c r="CJ1859" s="4"/>
      <c r="CK1859" s="4"/>
      <c r="CL1859" s="4"/>
      <c r="CM1859" s="4"/>
      <c r="CN1859" s="4"/>
      <c r="CO1859" s="4"/>
      <c r="CP1859" s="4"/>
      <c r="CQ1859" s="4"/>
      <c r="CR1859" s="4"/>
      <c r="CS1859" s="4"/>
      <c r="CT1859" s="4"/>
    </row>
    <row r="1860" spans="1:98" x14ac:dyDescent="0.25">
      <c r="A1860" s="2" t="s">
        <v>15</v>
      </c>
      <c r="B1860" s="2" t="str">
        <f>"FES1162769906"</f>
        <v>FES1162769906</v>
      </c>
      <c r="C1860" s="2" t="s">
        <v>1266</v>
      </c>
      <c r="D1860" s="2">
        <v>1</v>
      </c>
      <c r="E1860" s="2" t="str">
        <f>"2170757215"</f>
        <v>2170757215</v>
      </c>
      <c r="F1860" s="2" t="s">
        <v>17</v>
      </c>
      <c r="G1860" s="2" t="s">
        <v>18</v>
      </c>
      <c r="H1860" s="2" t="s">
        <v>18</v>
      </c>
      <c r="I1860" s="2" t="s">
        <v>95</v>
      </c>
      <c r="J1860" s="2" t="s">
        <v>96</v>
      </c>
      <c r="K1860" s="2" t="s">
        <v>1353</v>
      </c>
      <c r="L1860" s="3">
        <v>0.43055555555555558</v>
      </c>
      <c r="M1860" s="2" t="s">
        <v>213</v>
      </c>
      <c r="N1860" s="2" t="s">
        <v>500</v>
      </c>
      <c r="O1860" s="5"/>
      <c r="P1860" s="4"/>
      <c r="Q1860" s="4"/>
      <c r="R1860" s="4"/>
      <c r="S1860" s="4"/>
      <c r="T1860" s="4"/>
      <c r="U1860" s="4"/>
      <c r="V1860" s="4"/>
      <c r="W1860" s="4"/>
      <c r="X1860" s="4"/>
      <c r="Y1860" s="4"/>
      <c r="Z1860" s="4"/>
      <c r="AA1860" s="4"/>
      <c r="AB1860" s="4"/>
      <c r="AC1860" s="4"/>
      <c r="AD1860" s="4"/>
      <c r="AE1860" s="4"/>
      <c r="AF1860" s="4"/>
      <c r="AG1860" s="4"/>
      <c r="AH1860" s="4"/>
      <c r="AI1860" s="4"/>
      <c r="AJ1860" s="4"/>
      <c r="AK1860" s="4"/>
      <c r="AL1860" s="4"/>
      <c r="AM1860" s="4"/>
      <c r="AN1860" s="4"/>
      <c r="AO1860" s="4"/>
      <c r="AP1860" s="4"/>
      <c r="AQ1860" s="4"/>
      <c r="AR1860" s="4"/>
      <c r="AS1860" s="4"/>
      <c r="AT1860" s="4"/>
      <c r="AU1860" s="4"/>
      <c r="AV1860" s="4"/>
      <c r="AW1860" s="4"/>
      <c r="AX1860" s="4"/>
      <c r="AY1860" s="4"/>
      <c r="AZ1860" s="4"/>
      <c r="BA1860" s="4"/>
      <c r="BB1860" s="4"/>
      <c r="BC1860" s="4"/>
      <c r="BD1860" s="4"/>
      <c r="BE1860" s="4"/>
      <c r="BF1860" s="4"/>
      <c r="BG1860" s="4"/>
      <c r="BH1860" s="4"/>
      <c r="BI1860" s="4"/>
      <c r="BJ1860" s="4"/>
      <c r="BK1860" s="4"/>
      <c r="BL1860" s="4"/>
      <c r="BM1860" s="4"/>
      <c r="BN1860" s="4"/>
      <c r="BO1860" s="4"/>
      <c r="BP1860" s="4"/>
      <c r="BQ1860" s="4"/>
      <c r="BR1860" s="4"/>
      <c r="BS1860" s="4"/>
      <c r="BT1860" s="4"/>
      <c r="BU1860" s="4"/>
      <c r="BV1860" s="4"/>
      <c r="BW1860" s="4"/>
      <c r="BX1860" s="4"/>
      <c r="BY1860" s="4"/>
      <c r="BZ1860" s="4"/>
      <c r="CA1860" s="4"/>
      <c r="CB1860" s="4"/>
      <c r="CC1860" s="4"/>
      <c r="CD1860" s="4"/>
      <c r="CE1860" s="4"/>
      <c r="CF1860" s="4"/>
      <c r="CG1860" s="4"/>
      <c r="CH1860" s="4"/>
      <c r="CI1860" s="4"/>
      <c r="CJ1860" s="4"/>
      <c r="CK1860" s="4"/>
      <c r="CL1860" s="4"/>
      <c r="CM1860" s="4"/>
      <c r="CN1860" s="4"/>
      <c r="CO1860" s="4"/>
      <c r="CP1860" s="4"/>
      <c r="CQ1860" s="4"/>
      <c r="CR1860" s="4"/>
      <c r="CS1860" s="4"/>
      <c r="CT1860" s="4"/>
    </row>
    <row r="1861" spans="1:98" x14ac:dyDescent="0.25">
      <c r="A1861" s="2" t="s">
        <v>15</v>
      </c>
      <c r="B1861" s="2" t="str">
        <f>"FES1162769717"</f>
        <v>FES1162769717</v>
      </c>
      <c r="C1861" s="2" t="s">
        <v>1266</v>
      </c>
      <c r="D1861" s="2">
        <v>1</v>
      </c>
      <c r="E1861" s="2" t="str">
        <f>"2170756869"</f>
        <v>2170756869</v>
      </c>
      <c r="F1861" s="2" t="s">
        <v>17</v>
      </c>
      <c r="G1861" s="2" t="s">
        <v>18</v>
      </c>
      <c r="H1861" s="2" t="s">
        <v>25</v>
      </c>
      <c r="I1861" s="2" t="s">
        <v>42</v>
      </c>
      <c r="J1861" s="2" t="s">
        <v>416</v>
      </c>
      <c r="K1861" s="2" t="s">
        <v>1353</v>
      </c>
      <c r="L1861" s="3">
        <v>0.62847222222222221</v>
      </c>
      <c r="M1861" s="2" t="s">
        <v>688</v>
      </c>
      <c r="N1861" s="2" t="s">
        <v>500</v>
      </c>
      <c r="O1861" s="5"/>
      <c r="P1861" s="4"/>
      <c r="Q1861" s="4"/>
      <c r="R1861" s="4"/>
      <c r="S1861" s="4"/>
      <c r="T1861" s="4"/>
      <c r="U1861" s="4"/>
      <c r="V1861" s="4"/>
      <c r="W1861" s="4"/>
      <c r="X1861" s="4"/>
      <c r="Y1861" s="4"/>
      <c r="Z1861" s="4"/>
      <c r="AA1861" s="4"/>
      <c r="AB1861" s="4"/>
      <c r="AC1861" s="4"/>
      <c r="AD1861" s="4"/>
      <c r="AE1861" s="4"/>
      <c r="AF1861" s="4"/>
      <c r="AG1861" s="4"/>
      <c r="AH1861" s="4"/>
      <c r="AI1861" s="4"/>
      <c r="AJ1861" s="4"/>
      <c r="AK1861" s="4"/>
      <c r="AL1861" s="4"/>
      <c r="AM1861" s="4"/>
      <c r="AN1861" s="4"/>
      <c r="AO1861" s="4"/>
      <c r="AP1861" s="4"/>
      <c r="AQ1861" s="4"/>
      <c r="AR1861" s="4"/>
      <c r="AS1861" s="4"/>
      <c r="AT1861" s="4"/>
      <c r="AU1861" s="4"/>
      <c r="AV1861" s="4"/>
      <c r="AW1861" s="4"/>
      <c r="AX1861" s="4"/>
      <c r="AY1861" s="4"/>
      <c r="AZ1861" s="4"/>
      <c r="BA1861" s="4"/>
      <c r="BB1861" s="4"/>
      <c r="BC1861" s="4"/>
      <c r="BD1861" s="4"/>
      <c r="BE1861" s="4"/>
      <c r="BF1861" s="4"/>
      <c r="BG1861" s="4"/>
      <c r="BH1861" s="4"/>
      <c r="BI1861" s="4"/>
      <c r="BJ1861" s="4"/>
      <c r="BK1861" s="4"/>
      <c r="BL1861" s="4"/>
      <c r="BM1861" s="4"/>
      <c r="BN1861" s="4"/>
      <c r="BO1861" s="4"/>
      <c r="BP1861" s="4"/>
      <c r="BQ1861" s="4"/>
      <c r="BR1861" s="4"/>
      <c r="BS1861" s="4"/>
      <c r="BT1861" s="4"/>
      <c r="BU1861" s="4"/>
      <c r="BV1861" s="4"/>
      <c r="BW1861" s="4"/>
      <c r="BX1861" s="4"/>
      <c r="BY1861" s="4"/>
      <c r="BZ1861" s="4"/>
      <c r="CA1861" s="4"/>
      <c r="CB1861" s="4"/>
      <c r="CC1861" s="4"/>
      <c r="CD1861" s="4"/>
      <c r="CE1861" s="4"/>
      <c r="CF1861" s="4"/>
      <c r="CG1861" s="4"/>
      <c r="CH1861" s="4"/>
      <c r="CI1861" s="4"/>
      <c r="CJ1861" s="4"/>
      <c r="CK1861" s="4"/>
      <c r="CL1861" s="4"/>
      <c r="CM1861" s="4"/>
      <c r="CN1861" s="4"/>
      <c r="CO1861" s="4"/>
      <c r="CP1861" s="4"/>
      <c r="CQ1861" s="4"/>
      <c r="CR1861" s="4"/>
      <c r="CS1861" s="4"/>
      <c r="CT1861" s="4"/>
    </row>
    <row r="1862" spans="1:98" x14ac:dyDescent="0.25">
      <c r="A1862" s="2" t="s">
        <v>15</v>
      </c>
      <c r="B1862" s="2" t="str">
        <f>"FES1162769550"</f>
        <v>FES1162769550</v>
      </c>
      <c r="C1862" s="2" t="s">
        <v>1266</v>
      </c>
      <c r="D1862" s="2">
        <v>1</v>
      </c>
      <c r="E1862" s="2" t="str">
        <f>"2170756416"</f>
        <v>2170756416</v>
      </c>
      <c r="F1862" s="2" t="s">
        <v>17</v>
      </c>
      <c r="G1862" s="2" t="s">
        <v>18</v>
      </c>
      <c r="H1862" s="2" t="s">
        <v>25</v>
      </c>
      <c r="I1862" s="2" t="s">
        <v>26</v>
      </c>
      <c r="J1862" s="2" t="s">
        <v>422</v>
      </c>
      <c r="K1862" s="2" t="s">
        <v>1353</v>
      </c>
      <c r="L1862" s="3">
        <v>0.4145833333333333</v>
      </c>
      <c r="M1862" s="2" t="s">
        <v>813</v>
      </c>
      <c r="N1862" s="2" t="s">
        <v>500</v>
      </c>
      <c r="O1862" s="5"/>
      <c r="P1862" s="4"/>
      <c r="Q1862" s="4"/>
      <c r="R1862" s="4"/>
      <c r="S1862" s="4"/>
      <c r="T1862" s="4"/>
      <c r="U1862" s="4"/>
      <c r="V1862" s="4"/>
      <c r="W1862" s="4"/>
      <c r="X1862" s="4"/>
      <c r="Y1862" s="4"/>
      <c r="Z1862" s="4"/>
      <c r="AA1862" s="4"/>
      <c r="AB1862" s="4"/>
      <c r="AC1862" s="4"/>
      <c r="AD1862" s="4"/>
      <c r="AE1862" s="4"/>
      <c r="AF1862" s="4"/>
      <c r="AG1862" s="4"/>
      <c r="AH1862" s="4"/>
      <c r="AI1862" s="4"/>
      <c r="AJ1862" s="4"/>
      <c r="AK1862" s="4"/>
      <c r="AL1862" s="4"/>
      <c r="AM1862" s="4"/>
      <c r="AN1862" s="4"/>
      <c r="AO1862" s="4"/>
      <c r="AP1862" s="4"/>
      <c r="AQ1862" s="4"/>
      <c r="AR1862" s="4"/>
      <c r="AS1862" s="4"/>
      <c r="AT1862" s="4"/>
      <c r="AU1862" s="4"/>
      <c r="AV1862" s="4"/>
      <c r="AW1862" s="4"/>
      <c r="AX1862" s="4"/>
      <c r="AY1862" s="4"/>
      <c r="AZ1862" s="4"/>
      <c r="BA1862" s="4"/>
      <c r="BB1862" s="4"/>
      <c r="BC1862" s="4"/>
      <c r="BD1862" s="4"/>
      <c r="BE1862" s="4"/>
      <c r="BF1862" s="4"/>
      <c r="BG1862" s="4"/>
      <c r="BH1862" s="4"/>
      <c r="BI1862" s="4"/>
      <c r="BJ1862" s="4"/>
      <c r="BK1862" s="4"/>
      <c r="BL1862" s="4"/>
      <c r="BM1862" s="4"/>
      <c r="BN1862" s="4"/>
      <c r="BO1862" s="4"/>
      <c r="BP1862" s="4"/>
      <c r="BQ1862" s="4"/>
      <c r="BR1862" s="4"/>
      <c r="BS1862" s="4"/>
      <c r="BT1862" s="4"/>
      <c r="BU1862" s="4"/>
      <c r="BV1862" s="4"/>
      <c r="BW1862" s="4"/>
      <c r="BX1862" s="4"/>
      <c r="BY1862" s="4"/>
      <c r="BZ1862" s="4"/>
      <c r="CA1862" s="4"/>
      <c r="CB1862" s="4"/>
      <c r="CC1862" s="4"/>
      <c r="CD1862" s="4"/>
      <c r="CE1862" s="4"/>
      <c r="CF1862" s="4"/>
      <c r="CG1862" s="4"/>
      <c r="CH1862" s="4"/>
      <c r="CI1862" s="4"/>
      <c r="CJ1862" s="4"/>
      <c r="CK1862" s="4"/>
      <c r="CL1862" s="4"/>
      <c r="CM1862" s="4"/>
      <c r="CN1862" s="4"/>
      <c r="CO1862" s="4"/>
      <c r="CP1862" s="4"/>
      <c r="CQ1862" s="4"/>
      <c r="CR1862" s="4"/>
      <c r="CS1862" s="4"/>
      <c r="CT1862" s="4"/>
    </row>
    <row r="1863" spans="1:98" x14ac:dyDescent="0.25">
      <c r="A1863" s="2" t="s">
        <v>15</v>
      </c>
      <c r="B1863" s="2" t="str">
        <f>"FES1162769574"</f>
        <v>FES1162769574</v>
      </c>
      <c r="C1863" s="2" t="s">
        <v>1266</v>
      </c>
      <c r="D1863" s="2">
        <v>1</v>
      </c>
      <c r="E1863" s="2" t="str">
        <f>"2170756607"</f>
        <v>2170756607</v>
      </c>
      <c r="F1863" s="2" t="s">
        <v>17</v>
      </c>
      <c r="G1863" s="2" t="s">
        <v>18</v>
      </c>
      <c r="H1863" s="2" t="s">
        <v>88</v>
      </c>
      <c r="I1863" s="2" t="s">
        <v>109</v>
      </c>
      <c r="J1863" s="2" t="s">
        <v>1409</v>
      </c>
      <c r="K1863" s="2" t="s">
        <v>1353</v>
      </c>
      <c r="L1863" s="3">
        <v>0.43263888888888885</v>
      </c>
      <c r="M1863" s="2" t="s">
        <v>1492</v>
      </c>
      <c r="N1863" s="2" t="s">
        <v>500</v>
      </c>
      <c r="O1863" s="5"/>
      <c r="P1863" s="4"/>
      <c r="Q1863" s="4"/>
      <c r="R1863" s="4"/>
      <c r="S1863" s="4"/>
      <c r="T1863" s="4"/>
      <c r="U1863" s="4"/>
      <c r="V1863" s="4"/>
      <c r="W1863" s="4"/>
      <c r="X1863" s="4"/>
      <c r="Y1863" s="4"/>
      <c r="Z1863" s="4"/>
      <c r="AA1863" s="4"/>
      <c r="AB1863" s="4"/>
      <c r="AC1863" s="4"/>
      <c r="AD1863" s="4"/>
      <c r="AE1863" s="4"/>
      <c r="AF1863" s="4"/>
      <c r="AG1863" s="4"/>
      <c r="AH1863" s="4"/>
      <c r="AI1863" s="4"/>
      <c r="AJ1863" s="4"/>
      <c r="AK1863" s="4"/>
      <c r="AL1863" s="4"/>
      <c r="AM1863" s="4"/>
      <c r="AN1863" s="4"/>
      <c r="AO1863" s="4"/>
      <c r="AP1863" s="4"/>
      <c r="AQ1863" s="4"/>
      <c r="AR1863" s="4"/>
      <c r="AS1863" s="4"/>
      <c r="AT1863" s="4"/>
      <c r="AU1863" s="4"/>
      <c r="AV1863" s="4"/>
      <c r="AW1863" s="4"/>
      <c r="AX1863" s="4"/>
      <c r="AY1863" s="4"/>
      <c r="AZ1863" s="4"/>
      <c r="BA1863" s="4"/>
      <c r="BB1863" s="4"/>
      <c r="BC1863" s="4"/>
      <c r="BD1863" s="4"/>
      <c r="BE1863" s="4"/>
      <c r="BF1863" s="4"/>
      <c r="BG1863" s="4"/>
      <c r="BH1863" s="4"/>
      <c r="BI1863" s="4"/>
      <c r="BJ1863" s="4"/>
      <c r="BK1863" s="4"/>
      <c r="BL1863" s="4"/>
      <c r="BM1863" s="4"/>
      <c r="BN1863" s="4"/>
      <c r="BO1863" s="4"/>
      <c r="BP1863" s="4"/>
      <c r="BQ1863" s="4"/>
      <c r="BR1863" s="4"/>
      <c r="BS1863" s="4"/>
      <c r="BT1863" s="4"/>
      <c r="BU1863" s="4"/>
      <c r="BV1863" s="4"/>
      <c r="BW1863" s="4"/>
      <c r="BX1863" s="4"/>
      <c r="BY1863" s="4"/>
      <c r="BZ1863" s="4"/>
      <c r="CA1863" s="4"/>
      <c r="CB1863" s="4"/>
      <c r="CC1863" s="4"/>
      <c r="CD1863" s="4"/>
      <c r="CE1863" s="4"/>
      <c r="CF1863" s="4"/>
      <c r="CG1863" s="4"/>
      <c r="CH1863" s="4"/>
      <c r="CI1863" s="4"/>
      <c r="CJ1863" s="4"/>
      <c r="CK1863" s="4"/>
      <c r="CL1863" s="4"/>
      <c r="CM1863" s="4"/>
      <c r="CN1863" s="4"/>
      <c r="CO1863" s="4"/>
      <c r="CP1863" s="4"/>
      <c r="CQ1863" s="4"/>
      <c r="CR1863" s="4"/>
      <c r="CS1863" s="4"/>
      <c r="CT1863" s="4"/>
    </row>
    <row r="1864" spans="1:98" x14ac:dyDescent="0.25">
      <c r="A1864" s="2" t="s">
        <v>15</v>
      </c>
      <c r="B1864" s="2" t="str">
        <f>"FES1162770083"</f>
        <v>FES1162770083</v>
      </c>
      <c r="C1864" s="2" t="s">
        <v>1266</v>
      </c>
      <c r="D1864" s="2">
        <v>1</v>
      </c>
      <c r="E1864" s="2" t="str">
        <f>"2170757327"</f>
        <v>2170757327</v>
      </c>
      <c r="F1864" s="2" t="s">
        <v>17</v>
      </c>
      <c r="G1864" s="2" t="s">
        <v>18</v>
      </c>
      <c r="H1864" s="2" t="s">
        <v>25</v>
      </c>
      <c r="I1864" s="2" t="s">
        <v>26</v>
      </c>
      <c r="J1864" s="2" t="s">
        <v>27</v>
      </c>
      <c r="K1864" s="2" t="s">
        <v>1353</v>
      </c>
      <c r="L1864" s="3">
        <v>0.4055555555555555</v>
      </c>
      <c r="M1864" s="2" t="s">
        <v>521</v>
      </c>
      <c r="N1864" s="2" t="s">
        <v>500</v>
      </c>
      <c r="O1864" s="5"/>
      <c r="P1864" s="4"/>
      <c r="Q1864" s="4"/>
      <c r="R1864" s="4"/>
      <c r="S1864" s="4"/>
      <c r="T1864" s="4"/>
      <c r="U1864" s="4"/>
      <c r="V1864" s="4"/>
      <c r="W1864" s="4"/>
      <c r="X1864" s="4"/>
      <c r="Y1864" s="4"/>
      <c r="Z1864" s="4"/>
      <c r="AA1864" s="4"/>
      <c r="AB1864" s="4"/>
      <c r="AC1864" s="4"/>
      <c r="AD1864" s="4"/>
      <c r="AE1864" s="4"/>
      <c r="AF1864" s="4"/>
      <c r="AG1864" s="4"/>
      <c r="AH1864" s="4"/>
      <c r="AI1864" s="4"/>
      <c r="AJ1864" s="4"/>
      <c r="AK1864" s="4"/>
      <c r="AL1864" s="4"/>
      <c r="AM1864" s="4"/>
      <c r="AN1864" s="4"/>
      <c r="AO1864" s="4"/>
      <c r="AP1864" s="4"/>
      <c r="AQ1864" s="4"/>
      <c r="AR1864" s="4"/>
      <c r="AS1864" s="4"/>
      <c r="AT1864" s="4"/>
      <c r="AU1864" s="4"/>
      <c r="AV1864" s="4"/>
      <c r="AW1864" s="4"/>
      <c r="AX1864" s="4"/>
      <c r="AY1864" s="4"/>
      <c r="AZ1864" s="4"/>
      <c r="BA1864" s="4"/>
      <c r="BB1864" s="4"/>
      <c r="BC1864" s="4"/>
      <c r="BD1864" s="4"/>
      <c r="BE1864" s="4"/>
      <c r="BF1864" s="4"/>
      <c r="BG1864" s="4"/>
      <c r="BH1864" s="4"/>
      <c r="BI1864" s="4"/>
      <c r="BJ1864" s="4"/>
      <c r="BK1864" s="4"/>
      <c r="BL1864" s="4"/>
      <c r="BM1864" s="4"/>
      <c r="BN1864" s="4"/>
      <c r="BO1864" s="4"/>
      <c r="BP1864" s="4"/>
      <c r="BQ1864" s="4"/>
      <c r="BR1864" s="4"/>
      <c r="BS1864" s="4"/>
      <c r="BT1864" s="4"/>
      <c r="BU1864" s="4"/>
      <c r="BV1864" s="4"/>
      <c r="BW1864" s="4"/>
      <c r="BX1864" s="4"/>
      <c r="BY1864" s="4"/>
      <c r="BZ1864" s="4"/>
      <c r="CA1864" s="4"/>
      <c r="CB1864" s="4"/>
      <c r="CC1864" s="4"/>
      <c r="CD1864" s="4"/>
      <c r="CE1864" s="4"/>
      <c r="CF1864" s="4"/>
      <c r="CG1864" s="4"/>
      <c r="CH1864" s="4"/>
      <c r="CI1864" s="4"/>
      <c r="CJ1864" s="4"/>
      <c r="CK1864" s="4"/>
      <c r="CL1864" s="4"/>
      <c r="CM1864" s="4"/>
      <c r="CN1864" s="4"/>
      <c r="CO1864" s="4"/>
      <c r="CP1864" s="4"/>
      <c r="CQ1864" s="4"/>
      <c r="CR1864" s="4"/>
      <c r="CS1864" s="4"/>
      <c r="CT1864" s="4"/>
    </row>
    <row r="1865" spans="1:98" x14ac:dyDescent="0.25">
      <c r="A1865" s="2" t="s">
        <v>15</v>
      </c>
      <c r="B1865" s="2" t="str">
        <f>"FES1162769492"</f>
        <v>FES1162769492</v>
      </c>
      <c r="C1865" s="2" t="s">
        <v>1266</v>
      </c>
      <c r="D1865" s="2">
        <v>1</v>
      </c>
      <c r="E1865" s="2" t="str">
        <f>"2170754936"</f>
        <v>2170754936</v>
      </c>
      <c r="F1865" s="2" t="s">
        <v>17</v>
      </c>
      <c r="G1865" s="2" t="s">
        <v>18</v>
      </c>
      <c r="H1865" s="2" t="s">
        <v>18</v>
      </c>
      <c r="I1865" s="2" t="s">
        <v>57</v>
      </c>
      <c r="J1865" s="2" t="s">
        <v>1134</v>
      </c>
      <c r="K1865" s="2" t="s">
        <v>1353</v>
      </c>
      <c r="L1865" s="3">
        <v>0.3298611111111111</v>
      </c>
      <c r="M1865" s="2" t="s">
        <v>1410</v>
      </c>
      <c r="N1865" s="2" t="s">
        <v>500</v>
      </c>
      <c r="O1865" s="5"/>
      <c r="P1865" s="4"/>
      <c r="Q1865" s="4"/>
      <c r="R1865" s="4"/>
      <c r="S1865" s="4"/>
      <c r="T1865" s="4"/>
      <c r="U1865" s="4"/>
      <c r="V1865" s="4"/>
      <c r="W1865" s="4"/>
      <c r="X1865" s="4"/>
      <c r="Y1865" s="4"/>
      <c r="Z1865" s="4"/>
      <c r="AA1865" s="4"/>
      <c r="AB1865" s="4"/>
      <c r="AC1865" s="4"/>
      <c r="AD1865" s="4"/>
      <c r="AE1865" s="4"/>
      <c r="AF1865" s="4"/>
      <c r="AG1865" s="4"/>
      <c r="AH1865" s="4"/>
      <c r="AI1865" s="4"/>
      <c r="AJ1865" s="4"/>
      <c r="AK1865" s="4"/>
      <c r="AL1865" s="4"/>
      <c r="AM1865" s="4"/>
      <c r="AN1865" s="4"/>
      <c r="AO1865" s="4"/>
      <c r="AP1865" s="4"/>
      <c r="AQ1865" s="4"/>
      <c r="AR1865" s="4"/>
      <c r="AS1865" s="4"/>
      <c r="AT1865" s="4"/>
      <c r="AU1865" s="4"/>
      <c r="AV1865" s="4"/>
      <c r="AW1865" s="4"/>
      <c r="AX1865" s="4"/>
      <c r="AY1865" s="4"/>
      <c r="AZ1865" s="4"/>
      <c r="BA1865" s="4"/>
      <c r="BB1865" s="4"/>
      <c r="BC1865" s="4"/>
      <c r="BD1865" s="4"/>
      <c r="BE1865" s="4"/>
      <c r="BF1865" s="4"/>
      <c r="BG1865" s="4"/>
      <c r="BH1865" s="4"/>
      <c r="BI1865" s="4"/>
      <c r="BJ1865" s="4"/>
      <c r="BK1865" s="4"/>
      <c r="BL1865" s="4"/>
      <c r="BM1865" s="4"/>
      <c r="BN1865" s="4"/>
      <c r="BO1865" s="4"/>
      <c r="BP1865" s="4"/>
      <c r="BQ1865" s="4"/>
      <c r="BR1865" s="4"/>
      <c r="BS1865" s="4"/>
      <c r="BT1865" s="4"/>
      <c r="BU1865" s="4"/>
      <c r="BV1865" s="4"/>
      <c r="BW1865" s="4"/>
      <c r="BX1865" s="4"/>
      <c r="BY1865" s="4"/>
      <c r="BZ1865" s="4"/>
      <c r="CA1865" s="4"/>
      <c r="CB1865" s="4"/>
      <c r="CC1865" s="4"/>
      <c r="CD1865" s="4"/>
      <c r="CE1865" s="4"/>
      <c r="CF1865" s="4"/>
      <c r="CG1865" s="4"/>
      <c r="CH1865" s="4"/>
      <c r="CI1865" s="4"/>
      <c r="CJ1865" s="4"/>
      <c r="CK1865" s="4"/>
      <c r="CL1865" s="4"/>
      <c r="CM1865" s="4"/>
      <c r="CN1865" s="4"/>
      <c r="CO1865" s="4"/>
      <c r="CP1865" s="4"/>
      <c r="CQ1865" s="4"/>
      <c r="CR1865" s="4"/>
      <c r="CS1865" s="4"/>
      <c r="CT1865" s="4"/>
    </row>
    <row r="1866" spans="1:98" x14ac:dyDescent="0.25">
      <c r="A1866" s="2" t="s">
        <v>15</v>
      </c>
      <c r="B1866" s="2" t="str">
        <f>"FES1162769558"</f>
        <v>FES1162769558</v>
      </c>
      <c r="C1866" s="2" t="s">
        <v>1266</v>
      </c>
      <c r="D1866" s="2">
        <v>1</v>
      </c>
      <c r="E1866" s="2" t="str">
        <f>"2170756562"</f>
        <v>2170756562</v>
      </c>
      <c r="F1866" s="2" t="s">
        <v>17</v>
      </c>
      <c r="G1866" s="2" t="s">
        <v>18</v>
      </c>
      <c r="H1866" s="2" t="s">
        <v>25</v>
      </c>
      <c r="I1866" s="2" t="s">
        <v>26</v>
      </c>
      <c r="J1866" s="2" t="s">
        <v>623</v>
      </c>
      <c r="K1866" s="2" t="s">
        <v>1353</v>
      </c>
      <c r="L1866" s="3">
        <v>0.43611111111111112</v>
      </c>
      <c r="M1866" s="2" t="s">
        <v>1368</v>
      </c>
      <c r="N1866" s="2" t="s">
        <v>500</v>
      </c>
      <c r="O1866" s="5"/>
      <c r="P1866" s="4"/>
      <c r="Q1866" s="4"/>
      <c r="R1866" s="4"/>
      <c r="S1866" s="4"/>
      <c r="T1866" s="4"/>
      <c r="U1866" s="4"/>
      <c r="V1866" s="4"/>
      <c r="W1866" s="4"/>
      <c r="X1866" s="4"/>
      <c r="Y1866" s="4"/>
      <c r="Z1866" s="4"/>
      <c r="AA1866" s="4"/>
      <c r="AB1866" s="4"/>
      <c r="AC1866" s="4"/>
      <c r="AD1866" s="4"/>
      <c r="AE1866" s="4"/>
      <c r="AF1866" s="4"/>
      <c r="AG1866" s="4"/>
      <c r="AH1866" s="4"/>
      <c r="AI1866" s="4"/>
      <c r="AJ1866" s="4"/>
      <c r="AK1866" s="4"/>
      <c r="AL1866" s="4"/>
      <c r="AM1866" s="4"/>
      <c r="AN1866" s="4"/>
      <c r="AO1866" s="4"/>
      <c r="AP1866" s="4"/>
      <c r="AQ1866" s="4"/>
      <c r="AR1866" s="4"/>
      <c r="AS1866" s="4"/>
      <c r="AT1866" s="4"/>
      <c r="AU1866" s="4"/>
      <c r="AV1866" s="4"/>
      <c r="AW1866" s="4"/>
      <c r="AX1866" s="4"/>
      <c r="AY1866" s="4"/>
      <c r="AZ1866" s="4"/>
      <c r="BA1866" s="4"/>
      <c r="BB1866" s="4"/>
      <c r="BC1866" s="4"/>
      <c r="BD1866" s="4"/>
      <c r="BE1866" s="4"/>
      <c r="BF1866" s="4"/>
      <c r="BG1866" s="4"/>
      <c r="BH1866" s="4"/>
      <c r="BI1866" s="4"/>
      <c r="BJ1866" s="4"/>
      <c r="BK1866" s="4"/>
      <c r="BL1866" s="4"/>
      <c r="BM1866" s="4"/>
      <c r="BN1866" s="4"/>
      <c r="BO1866" s="4"/>
      <c r="BP1866" s="4"/>
      <c r="BQ1866" s="4"/>
      <c r="BR1866" s="4"/>
      <c r="BS1866" s="4"/>
      <c r="BT1866" s="4"/>
      <c r="BU1866" s="4"/>
      <c r="BV1866" s="4"/>
      <c r="BW1866" s="4"/>
      <c r="BX1866" s="4"/>
      <c r="BY1866" s="4"/>
      <c r="BZ1866" s="4"/>
      <c r="CA1866" s="4"/>
      <c r="CB1866" s="4"/>
      <c r="CC1866" s="4"/>
      <c r="CD1866" s="4"/>
      <c r="CE1866" s="4"/>
      <c r="CF1866" s="4"/>
      <c r="CG1866" s="4"/>
      <c r="CH1866" s="4"/>
      <c r="CI1866" s="4"/>
      <c r="CJ1866" s="4"/>
      <c r="CK1866" s="4"/>
      <c r="CL1866" s="4"/>
      <c r="CM1866" s="4"/>
      <c r="CN1866" s="4"/>
      <c r="CO1866" s="4"/>
      <c r="CP1866" s="4"/>
      <c r="CQ1866" s="4"/>
      <c r="CR1866" s="4"/>
      <c r="CS1866" s="4"/>
      <c r="CT1866" s="4"/>
    </row>
    <row r="1867" spans="1:98" x14ac:dyDescent="0.25">
      <c r="A1867" s="2" t="s">
        <v>15</v>
      </c>
      <c r="B1867" s="2" t="str">
        <f>"FES1162770089"</f>
        <v>FES1162770089</v>
      </c>
      <c r="C1867" s="2" t="s">
        <v>1266</v>
      </c>
      <c r="D1867" s="2">
        <v>1</v>
      </c>
      <c r="E1867" s="2" t="str">
        <f>"2170757317"</f>
        <v>2170757317</v>
      </c>
      <c r="F1867" s="2" t="s">
        <v>17</v>
      </c>
      <c r="G1867" s="2" t="s">
        <v>18</v>
      </c>
      <c r="H1867" s="2" t="s">
        <v>25</v>
      </c>
      <c r="I1867" s="2" t="s">
        <v>26</v>
      </c>
      <c r="J1867" s="2" t="s">
        <v>1118</v>
      </c>
      <c r="K1867" s="2" t="s">
        <v>1353</v>
      </c>
      <c r="L1867" s="3">
        <v>0.47152777777777777</v>
      </c>
      <c r="M1867" s="2" t="s">
        <v>1493</v>
      </c>
      <c r="N1867" s="2" t="s">
        <v>500</v>
      </c>
      <c r="O1867" s="5"/>
      <c r="P1867" s="4"/>
      <c r="Q1867" s="4"/>
      <c r="R1867" s="4"/>
      <c r="S1867" s="4"/>
      <c r="T1867" s="4"/>
      <c r="U1867" s="4"/>
      <c r="V1867" s="4"/>
      <c r="W1867" s="4"/>
      <c r="X1867" s="4"/>
      <c r="Y1867" s="4"/>
      <c r="Z1867" s="4"/>
      <c r="AA1867" s="4"/>
      <c r="AB1867" s="4"/>
      <c r="AC1867" s="4"/>
      <c r="AD1867" s="4"/>
      <c r="AE1867" s="4"/>
      <c r="AF1867" s="4"/>
      <c r="AG1867" s="4"/>
      <c r="AH1867" s="4"/>
      <c r="AI1867" s="4"/>
      <c r="AJ1867" s="4"/>
      <c r="AK1867" s="4"/>
      <c r="AL1867" s="4"/>
      <c r="AM1867" s="4"/>
      <c r="AN1867" s="4"/>
      <c r="AO1867" s="4"/>
      <c r="AP1867" s="4"/>
      <c r="AQ1867" s="4"/>
      <c r="AR1867" s="4"/>
      <c r="AS1867" s="4"/>
      <c r="AT1867" s="4"/>
      <c r="AU1867" s="4"/>
      <c r="AV1867" s="4"/>
      <c r="AW1867" s="4"/>
      <c r="AX1867" s="4"/>
      <c r="AY1867" s="4"/>
      <c r="AZ1867" s="4"/>
      <c r="BA1867" s="4"/>
      <c r="BB1867" s="4"/>
      <c r="BC1867" s="4"/>
      <c r="BD1867" s="4"/>
      <c r="BE1867" s="4"/>
      <c r="BF1867" s="4"/>
      <c r="BG1867" s="4"/>
      <c r="BH1867" s="4"/>
      <c r="BI1867" s="4"/>
      <c r="BJ1867" s="4"/>
      <c r="BK1867" s="4"/>
      <c r="BL1867" s="4"/>
      <c r="BM1867" s="4"/>
      <c r="BN1867" s="4"/>
      <c r="BO1867" s="4"/>
      <c r="BP1867" s="4"/>
      <c r="BQ1867" s="4"/>
      <c r="BR1867" s="4"/>
      <c r="BS1867" s="4"/>
      <c r="BT1867" s="4"/>
      <c r="BU1867" s="4"/>
      <c r="BV1867" s="4"/>
      <c r="BW1867" s="4"/>
      <c r="BX1867" s="4"/>
      <c r="BY1867" s="4"/>
      <c r="BZ1867" s="4"/>
      <c r="CA1867" s="4"/>
      <c r="CB1867" s="4"/>
      <c r="CC1867" s="4"/>
      <c r="CD1867" s="4"/>
      <c r="CE1867" s="4"/>
      <c r="CF1867" s="4"/>
      <c r="CG1867" s="4"/>
      <c r="CH1867" s="4"/>
      <c r="CI1867" s="4"/>
      <c r="CJ1867" s="4"/>
      <c r="CK1867" s="4"/>
      <c r="CL1867" s="4"/>
      <c r="CM1867" s="4"/>
      <c r="CN1867" s="4"/>
      <c r="CO1867" s="4"/>
      <c r="CP1867" s="4"/>
      <c r="CQ1867" s="4"/>
      <c r="CR1867" s="4"/>
      <c r="CS1867" s="4"/>
      <c r="CT1867" s="4"/>
    </row>
    <row r="1868" spans="1:98" x14ac:dyDescent="0.25">
      <c r="A1868" s="2" t="s">
        <v>15</v>
      </c>
      <c r="B1868" s="2" t="str">
        <f>"FES1162769468"</f>
        <v>FES1162769468</v>
      </c>
      <c r="C1868" s="2" t="s">
        <v>1266</v>
      </c>
      <c r="D1868" s="2">
        <v>1</v>
      </c>
      <c r="E1868" s="2" t="str">
        <f>"2170754304"</f>
        <v>2170754304</v>
      </c>
      <c r="F1868" s="2" t="s">
        <v>17</v>
      </c>
      <c r="G1868" s="2" t="s">
        <v>18</v>
      </c>
      <c r="H1868" s="2" t="s">
        <v>25</v>
      </c>
      <c r="I1868" s="2" t="s">
        <v>26</v>
      </c>
      <c r="J1868" s="2" t="s">
        <v>1411</v>
      </c>
      <c r="K1868" s="2" t="s">
        <v>1353</v>
      </c>
      <c r="L1868" s="3">
        <v>0.34027777777777773</v>
      </c>
      <c r="M1868" s="2" t="s">
        <v>1494</v>
      </c>
      <c r="N1868" s="2" t="s">
        <v>500</v>
      </c>
      <c r="O1868" s="5"/>
      <c r="P1868" s="4"/>
      <c r="Q1868" s="4"/>
      <c r="R1868" s="4"/>
      <c r="S1868" s="4"/>
      <c r="T1868" s="4"/>
      <c r="U1868" s="4"/>
      <c r="V1868" s="4"/>
      <c r="W1868" s="4"/>
      <c r="X1868" s="4"/>
      <c r="Y1868" s="4"/>
      <c r="Z1868" s="4"/>
      <c r="AA1868" s="4"/>
      <c r="AB1868" s="4"/>
      <c r="AC1868" s="4"/>
      <c r="AD1868" s="4"/>
      <c r="AE1868" s="4"/>
      <c r="AF1868" s="4"/>
      <c r="AG1868" s="4"/>
      <c r="AH1868" s="4"/>
      <c r="AI1868" s="4"/>
      <c r="AJ1868" s="4"/>
      <c r="AK1868" s="4"/>
      <c r="AL1868" s="4"/>
      <c r="AM1868" s="4"/>
      <c r="AN1868" s="4"/>
      <c r="AO1868" s="4"/>
      <c r="AP1868" s="4"/>
      <c r="AQ1868" s="4"/>
      <c r="AR1868" s="4"/>
      <c r="AS1868" s="4"/>
      <c r="AT1868" s="4"/>
      <c r="AU1868" s="4"/>
      <c r="AV1868" s="4"/>
      <c r="AW1868" s="4"/>
      <c r="AX1868" s="4"/>
      <c r="AY1868" s="4"/>
      <c r="AZ1868" s="4"/>
      <c r="BA1868" s="4"/>
      <c r="BB1868" s="4"/>
      <c r="BC1868" s="4"/>
      <c r="BD1868" s="4"/>
      <c r="BE1868" s="4"/>
      <c r="BF1868" s="4"/>
      <c r="BG1868" s="4"/>
      <c r="BH1868" s="4"/>
      <c r="BI1868" s="4"/>
      <c r="BJ1868" s="4"/>
      <c r="BK1868" s="4"/>
      <c r="BL1868" s="4"/>
      <c r="BM1868" s="4"/>
      <c r="BN1868" s="4"/>
      <c r="BO1868" s="4"/>
      <c r="BP1868" s="4"/>
      <c r="BQ1868" s="4"/>
      <c r="BR1868" s="4"/>
      <c r="BS1868" s="4"/>
      <c r="BT1868" s="4"/>
      <c r="BU1868" s="4"/>
      <c r="BV1868" s="4"/>
      <c r="BW1868" s="4"/>
      <c r="BX1868" s="4"/>
      <c r="BY1868" s="4"/>
      <c r="BZ1868" s="4"/>
      <c r="CA1868" s="4"/>
      <c r="CB1868" s="4"/>
      <c r="CC1868" s="4"/>
      <c r="CD1868" s="4"/>
      <c r="CE1868" s="4"/>
      <c r="CF1868" s="4"/>
      <c r="CG1868" s="4"/>
      <c r="CH1868" s="4"/>
      <c r="CI1868" s="4"/>
      <c r="CJ1868" s="4"/>
      <c r="CK1868" s="4"/>
      <c r="CL1868" s="4"/>
      <c r="CM1868" s="4"/>
      <c r="CN1868" s="4"/>
      <c r="CO1868" s="4"/>
      <c r="CP1868" s="4"/>
      <c r="CQ1868" s="4"/>
      <c r="CR1868" s="4"/>
      <c r="CS1868" s="4"/>
      <c r="CT1868" s="4"/>
    </row>
    <row r="1869" spans="1:98" x14ac:dyDescent="0.25">
      <c r="A1869" s="2" t="s">
        <v>15</v>
      </c>
      <c r="B1869" s="2" t="str">
        <f>"FES1162769705"</f>
        <v>FES1162769705</v>
      </c>
      <c r="C1869" s="2" t="s">
        <v>1266</v>
      </c>
      <c r="D1869" s="2">
        <v>1</v>
      </c>
      <c r="E1869" s="2" t="str">
        <f>"2170756844"</f>
        <v>2170756844</v>
      </c>
      <c r="F1869" s="2" t="s">
        <v>17</v>
      </c>
      <c r="G1869" s="2" t="s">
        <v>18</v>
      </c>
      <c r="H1869" s="2" t="s">
        <v>25</v>
      </c>
      <c r="I1869" s="2" t="s">
        <v>26</v>
      </c>
      <c r="J1869" s="2" t="s">
        <v>367</v>
      </c>
      <c r="K1869" s="2" t="s">
        <v>1353</v>
      </c>
      <c r="L1869" s="3">
        <v>0.37291666666666662</v>
      </c>
      <c r="M1869" s="2" t="s">
        <v>368</v>
      </c>
      <c r="N1869" s="2" t="s">
        <v>500</v>
      </c>
      <c r="O1869" s="5"/>
      <c r="P1869" s="4"/>
      <c r="Q1869" s="4"/>
      <c r="R1869" s="4"/>
      <c r="S1869" s="4"/>
      <c r="T1869" s="4"/>
      <c r="U1869" s="4"/>
      <c r="V1869" s="4"/>
      <c r="W1869" s="4"/>
      <c r="X1869" s="4"/>
      <c r="Y1869" s="4"/>
      <c r="Z1869" s="4"/>
      <c r="AA1869" s="4"/>
      <c r="AB1869" s="4"/>
      <c r="AC1869" s="4"/>
      <c r="AD1869" s="4"/>
      <c r="AE1869" s="4"/>
      <c r="AF1869" s="4"/>
      <c r="AG1869" s="4"/>
      <c r="AH1869" s="4"/>
      <c r="AI1869" s="4"/>
      <c r="AJ1869" s="4"/>
      <c r="AK1869" s="4"/>
      <c r="AL1869" s="4"/>
      <c r="AM1869" s="4"/>
      <c r="AN1869" s="4"/>
      <c r="AO1869" s="4"/>
      <c r="AP1869" s="4"/>
      <c r="AQ1869" s="4"/>
      <c r="AR1869" s="4"/>
      <c r="AS1869" s="4"/>
      <c r="AT1869" s="4"/>
      <c r="AU1869" s="4"/>
      <c r="AV1869" s="4"/>
      <c r="AW1869" s="4"/>
      <c r="AX1869" s="4"/>
      <c r="AY1869" s="4"/>
      <c r="AZ1869" s="4"/>
      <c r="BA1869" s="4"/>
      <c r="BB1869" s="4"/>
      <c r="BC1869" s="4"/>
      <c r="BD1869" s="4"/>
      <c r="BE1869" s="4"/>
      <c r="BF1869" s="4"/>
      <c r="BG1869" s="4"/>
      <c r="BH1869" s="4"/>
      <c r="BI1869" s="4"/>
      <c r="BJ1869" s="4"/>
      <c r="BK1869" s="4"/>
      <c r="BL1869" s="4"/>
      <c r="BM1869" s="4"/>
      <c r="BN1869" s="4"/>
      <c r="BO1869" s="4"/>
      <c r="BP1869" s="4"/>
      <c r="BQ1869" s="4"/>
      <c r="BR1869" s="4"/>
      <c r="BS1869" s="4"/>
      <c r="BT1869" s="4"/>
      <c r="BU1869" s="4"/>
      <c r="BV1869" s="4"/>
      <c r="BW1869" s="4"/>
      <c r="BX1869" s="4"/>
      <c r="BY1869" s="4"/>
      <c r="BZ1869" s="4"/>
      <c r="CA1869" s="4"/>
      <c r="CB1869" s="4"/>
      <c r="CC1869" s="4"/>
      <c r="CD1869" s="4"/>
      <c r="CE1869" s="4"/>
      <c r="CF1869" s="4"/>
      <c r="CG1869" s="4"/>
      <c r="CH1869" s="4"/>
      <c r="CI1869" s="4"/>
      <c r="CJ1869" s="4"/>
      <c r="CK1869" s="4"/>
      <c r="CL1869" s="4"/>
      <c r="CM1869" s="4"/>
      <c r="CN1869" s="4"/>
      <c r="CO1869" s="4"/>
      <c r="CP1869" s="4"/>
      <c r="CQ1869" s="4"/>
      <c r="CR1869" s="4"/>
      <c r="CS1869" s="4"/>
      <c r="CT1869" s="4"/>
    </row>
    <row r="1870" spans="1:98" x14ac:dyDescent="0.25">
      <c r="A1870" s="2" t="s">
        <v>15</v>
      </c>
      <c r="B1870" s="2" t="str">
        <f>"FES1162769568"</f>
        <v>FES1162769568</v>
      </c>
      <c r="C1870" s="2" t="s">
        <v>1266</v>
      </c>
      <c r="D1870" s="2">
        <v>1</v>
      </c>
      <c r="E1870" s="2" t="str">
        <f>"2170756595"</f>
        <v>2170756595</v>
      </c>
      <c r="F1870" s="2" t="s">
        <v>17</v>
      </c>
      <c r="G1870" s="2" t="s">
        <v>18</v>
      </c>
      <c r="H1870" s="2" t="s">
        <v>25</v>
      </c>
      <c r="I1870" s="2" t="s">
        <v>26</v>
      </c>
      <c r="J1870" s="2" t="s">
        <v>757</v>
      </c>
      <c r="K1870" s="2" t="s">
        <v>1353</v>
      </c>
      <c r="L1870" s="3">
        <v>0.34583333333333338</v>
      </c>
      <c r="M1870" s="2" t="s">
        <v>1154</v>
      </c>
      <c r="N1870" s="2" t="s">
        <v>500</v>
      </c>
      <c r="O1870" s="5"/>
      <c r="P1870" s="4"/>
      <c r="Q1870" s="4"/>
      <c r="R1870" s="4"/>
      <c r="S1870" s="4"/>
      <c r="T1870" s="4"/>
      <c r="U1870" s="4"/>
      <c r="V1870" s="4"/>
      <c r="W1870" s="4"/>
      <c r="X1870" s="4"/>
      <c r="Y1870" s="4"/>
      <c r="Z1870" s="4"/>
      <c r="AA1870" s="4"/>
      <c r="AB1870" s="4"/>
      <c r="AC1870" s="4"/>
      <c r="AD1870" s="4"/>
      <c r="AE1870" s="4"/>
      <c r="AF1870" s="4"/>
      <c r="AG1870" s="4"/>
      <c r="AH1870" s="4"/>
      <c r="AI1870" s="4"/>
      <c r="AJ1870" s="4"/>
      <c r="AK1870" s="4"/>
      <c r="AL1870" s="4"/>
      <c r="AM1870" s="4"/>
      <c r="AN1870" s="4"/>
      <c r="AO1870" s="4"/>
      <c r="AP1870" s="4"/>
      <c r="AQ1870" s="4"/>
      <c r="AR1870" s="4"/>
      <c r="AS1870" s="4"/>
      <c r="AT1870" s="4"/>
      <c r="AU1870" s="4"/>
      <c r="AV1870" s="4"/>
      <c r="AW1870" s="4"/>
      <c r="AX1870" s="4"/>
      <c r="AY1870" s="4"/>
      <c r="AZ1870" s="4"/>
      <c r="BA1870" s="4"/>
      <c r="BB1870" s="4"/>
      <c r="BC1870" s="4"/>
      <c r="BD1870" s="4"/>
      <c r="BE1870" s="4"/>
      <c r="BF1870" s="4"/>
      <c r="BG1870" s="4"/>
      <c r="BH1870" s="4"/>
      <c r="BI1870" s="4"/>
      <c r="BJ1870" s="4"/>
      <c r="BK1870" s="4"/>
      <c r="BL1870" s="4"/>
      <c r="BM1870" s="4"/>
      <c r="BN1870" s="4"/>
      <c r="BO1870" s="4"/>
      <c r="BP1870" s="4"/>
      <c r="BQ1870" s="4"/>
      <c r="BR1870" s="4"/>
      <c r="BS1870" s="4"/>
      <c r="BT1870" s="4"/>
      <c r="BU1870" s="4"/>
      <c r="BV1870" s="4"/>
      <c r="BW1870" s="4"/>
      <c r="BX1870" s="4"/>
      <c r="BY1870" s="4"/>
      <c r="BZ1870" s="4"/>
      <c r="CA1870" s="4"/>
      <c r="CB1870" s="4"/>
      <c r="CC1870" s="4"/>
      <c r="CD1870" s="4"/>
      <c r="CE1870" s="4"/>
      <c r="CF1870" s="4"/>
      <c r="CG1870" s="4"/>
      <c r="CH1870" s="4"/>
      <c r="CI1870" s="4"/>
      <c r="CJ1870" s="4"/>
      <c r="CK1870" s="4"/>
      <c r="CL1870" s="4"/>
      <c r="CM1870" s="4"/>
      <c r="CN1870" s="4"/>
      <c r="CO1870" s="4"/>
      <c r="CP1870" s="4"/>
      <c r="CQ1870" s="4"/>
      <c r="CR1870" s="4"/>
      <c r="CS1870" s="4"/>
      <c r="CT1870" s="4"/>
    </row>
    <row r="1871" spans="1:98" x14ac:dyDescent="0.25">
      <c r="A1871" s="2" t="s">
        <v>15</v>
      </c>
      <c r="B1871" s="2" t="str">
        <f>"FES1162770049"</f>
        <v>FES1162770049</v>
      </c>
      <c r="C1871" s="2" t="s">
        <v>1266</v>
      </c>
      <c r="D1871" s="2">
        <v>1</v>
      </c>
      <c r="E1871" s="2" t="str">
        <f>"2170757281"</f>
        <v>2170757281</v>
      </c>
      <c r="F1871" s="2" t="s">
        <v>17</v>
      </c>
      <c r="G1871" s="2" t="s">
        <v>18</v>
      </c>
      <c r="H1871" s="2" t="s">
        <v>18</v>
      </c>
      <c r="I1871" s="2" t="s">
        <v>57</v>
      </c>
      <c r="J1871" s="2" t="s">
        <v>1319</v>
      </c>
      <c r="K1871" s="2" t="s">
        <v>1353</v>
      </c>
      <c r="L1871" s="3">
        <v>0.30763888888888891</v>
      </c>
      <c r="M1871" s="2" t="s">
        <v>1387</v>
      </c>
      <c r="N1871" s="2" t="s">
        <v>500</v>
      </c>
      <c r="O1871" s="5"/>
      <c r="P1871" s="4"/>
      <c r="Q1871" s="4"/>
      <c r="R1871" s="4"/>
      <c r="S1871" s="4"/>
      <c r="T1871" s="4"/>
      <c r="U1871" s="4"/>
      <c r="V1871" s="4"/>
      <c r="W1871" s="4"/>
      <c r="X1871" s="4"/>
      <c r="Y1871" s="4"/>
      <c r="Z1871" s="4"/>
      <c r="AA1871" s="4"/>
      <c r="AB1871" s="4"/>
      <c r="AC1871" s="4"/>
      <c r="AD1871" s="4"/>
      <c r="AE1871" s="4"/>
      <c r="AF1871" s="4"/>
      <c r="AG1871" s="4"/>
      <c r="AH1871" s="4"/>
      <c r="AI1871" s="4"/>
      <c r="AJ1871" s="4"/>
      <c r="AK1871" s="4"/>
      <c r="AL1871" s="4"/>
      <c r="AM1871" s="4"/>
      <c r="AN1871" s="4"/>
      <c r="AO1871" s="4"/>
      <c r="AP1871" s="4"/>
      <c r="AQ1871" s="4"/>
      <c r="AR1871" s="4"/>
      <c r="AS1871" s="4"/>
      <c r="AT1871" s="4"/>
      <c r="AU1871" s="4"/>
      <c r="AV1871" s="4"/>
      <c r="AW1871" s="4"/>
      <c r="AX1871" s="4"/>
      <c r="AY1871" s="4"/>
      <c r="AZ1871" s="4"/>
      <c r="BA1871" s="4"/>
      <c r="BB1871" s="4"/>
      <c r="BC1871" s="4"/>
      <c r="BD1871" s="4"/>
      <c r="BE1871" s="4"/>
      <c r="BF1871" s="4"/>
      <c r="BG1871" s="4"/>
      <c r="BH1871" s="4"/>
      <c r="BI1871" s="4"/>
      <c r="BJ1871" s="4"/>
      <c r="BK1871" s="4"/>
      <c r="BL1871" s="4"/>
      <c r="BM1871" s="4"/>
      <c r="BN1871" s="4"/>
      <c r="BO1871" s="4"/>
      <c r="BP1871" s="4"/>
      <c r="BQ1871" s="4"/>
      <c r="BR1871" s="4"/>
      <c r="BS1871" s="4"/>
      <c r="BT1871" s="4"/>
      <c r="BU1871" s="4"/>
      <c r="BV1871" s="4"/>
      <c r="BW1871" s="4"/>
      <c r="BX1871" s="4"/>
      <c r="BY1871" s="4"/>
      <c r="BZ1871" s="4"/>
      <c r="CA1871" s="4"/>
      <c r="CB1871" s="4"/>
      <c r="CC1871" s="4"/>
      <c r="CD1871" s="4"/>
      <c r="CE1871" s="4"/>
      <c r="CF1871" s="4"/>
      <c r="CG1871" s="4"/>
      <c r="CH1871" s="4"/>
      <c r="CI1871" s="4"/>
      <c r="CJ1871" s="4"/>
      <c r="CK1871" s="4"/>
      <c r="CL1871" s="4"/>
      <c r="CM1871" s="4"/>
      <c r="CN1871" s="4"/>
      <c r="CO1871" s="4"/>
      <c r="CP1871" s="4"/>
      <c r="CQ1871" s="4"/>
      <c r="CR1871" s="4"/>
      <c r="CS1871" s="4"/>
      <c r="CT1871" s="4"/>
    </row>
    <row r="1872" spans="1:98" x14ac:dyDescent="0.25">
      <c r="A1872" s="2" t="s">
        <v>15</v>
      </c>
      <c r="B1872" s="2" t="str">
        <f>"FES1162769996"</f>
        <v>FES1162769996</v>
      </c>
      <c r="C1872" s="2" t="s">
        <v>1266</v>
      </c>
      <c r="D1872" s="2">
        <v>1</v>
      </c>
      <c r="E1872" s="2" t="str">
        <f>"2170756651"</f>
        <v>2170756651</v>
      </c>
      <c r="F1872" s="2" t="s">
        <v>17</v>
      </c>
      <c r="G1872" s="2" t="s">
        <v>18</v>
      </c>
      <c r="H1872" s="2" t="s">
        <v>18</v>
      </c>
      <c r="I1872" s="2" t="s">
        <v>46</v>
      </c>
      <c r="J1872" s="2" t="s">
        <v>59</v>
      </c>
      <c r="K1872" s="2" t="s">
        <v>1353</v>
      </c>
      <c r="L1872" s="3">
        <v>0.4375</v>
      </c>
      <c r="M1872" s="2" t="s">
        <v>559</v>
      </c>
      <c r="N1872" s="2" t="s">
        <v>500</v>
      </c>
      <c r="O1872" s="5"/>
      <c r="P1872" s="4"/>
      <c r="Q1872" s="4"/>
      <c r="R1872" s="4"/>
      <c r="S1872" s="4"/>
      <c r="T1872" s="4"/>
      <c r="U1872" s="4"/>
      <c r="V1872" s="4"/>
      <c r="W1872" s="4"/>
      <c r="X1872" s="4"/>
      <c r="Y1872" s="4"/>
      <c r="Z1872" s="4"/>
      <c r="AA1872" s="4"/>
      <c r="AB1872" s="4"/>
      <c r="AC1872" s="4"/>
      <c r="AD1872" s="4"/>
      <c r="AE1872" s="4"/>
      <c r="AF1872" s="4"/>
      <c r="AG1872" s="4"/>
      <c r="AH1872" s="4"/>
      <c r="AI1872" s="4"/>
      <c r="AJ1872" s="4"/>
      <c r="AK1872" s="4"/>
      <c r="AL1872" s="4"/>
      <c r="AM1872" s="4"/>
      <c r="AN1872" s="4"/>
      <c r="AO1872" s="4"/>
      <c r="AP1872" s="4"/>
      <c r="AQ1872" s="4"/>
      <c r="AR1872" s="4"/>
      <c r="AS1872" s="4"/>
      <c r="AT1872" s="4"/>
      <c r="AU1872" s="4"/>
      <c r="AV1872" s="4"/>
      <c r="AW1872" s="4"/>
      <c r="AX1872" s="4"/>
      <c r="AY1872" s="4"/>
      <c r="AZ1872" s="4"/>
      <c r="BA1872" s="4"/>
      <c r="BB1872" s="4"/>
      <c r="BC1872" s="4"/>
      <c r="BD1872" s="4"/>
      <c r="BE1872" s="4"/>
      <c r="BF1872" s="4"/>
      <c r="BG1872" s="4"/>
      <c r="BH1872" s="4"/>
      <c r="BI1872" s="4"/>
      <c r="BJ1872" s="4"/>
      <c r="BK1872" s="4"/>
      <c r="BL1872" s="4"/>
      <c r="BM1872" s="4"/>
      <c r="BN1872" s="4"/>
      <c r="BO1872" s="4"/>
      <c r="BP1872" s="4"/>
      <c r="BQ1872" s="4"/>
      <c r="BR1872" s="4"/>
      <c r="BS1872" s="4"/>
      <c r="BT1872" s="4"/>
      <c r="BU1872" s="4"/>
      <c r="BV1872" s="4"/>
      <c r="BW1872" s="4"/>
      <c r="BX1872" s="4"/>
      <c r="BY1872" s="4"/>
      <c r="BZ1872" s="4"/>
      <c r="CA1872" s="4"/>
      <c r="CB1872" s="4"/>
      <c r="CC1872" s="4"/>
      <c r="CD1872" s="4"/>
      <c r="CE1872" s="4"/>
      <c r="CF1872" s="4"/>
      <c r="CG1872" s="4"/>
      <c r="CH1872" s="4"/>
      <c r="CI1872" s="4"/>
      <c r="CJ1872" s="4"/>
      <c r="CK1872" s="4"/>
      <c r="CL1872" s="4"/>
      <c r="CM1872" s="4"/>
      <c r="CN1872" s="4"/>
      <c r="CO1872" s="4"/>
      <c r="CP1872" s="4"/>
      <c r="CQ1872" s="4"/>
      <c r="CR1872" s="4"/>
      <c r="CS1872" s="4"/>
      <c r="CT1872" s="4"/>
    </row>
    <row r="1873" spans="1:98" x14ac:dyDescent="0.25">
      <c r="A1873" s="2" t="s">
        <v>15</v>
      </c>
      <c r="B1873" s="2" t="str">
        <f>"FES1162770075"</f>
        <v>FES1162770075</v>
      </c>
      <c r="C1873" s="2" t="s">
        <v>1266</v>
      </c>
      <c r="D1873" s="2">
        <v>1</v>
      </c>
      <c r="E1873" s="2" t="str">
        <f>"2170757314"</f>
        <v>2170757314</v>
      </c>
      <c r="F1873" s="2" t="s">
        <v>17</v>
      </c>
      <c r="G1873" s="2" t="s">
        <v>18</v>
      </c>
      <c r="H1873" s="2" t="s">
        <v>25</v>
      </c>
      <c r="I1873" s="2" t="s">
        <v>26</v>
      </c>
      <c r="J1873" s="2" t="s">
        <v>100</v>
      </c>
      <c r="K1873" s="2" t="s">
        <v>1353</v>
      </c>
      <c r="L1873" s="3">
        <v>0.33333333333333331</v>
      </c>
      <c r="M1873" s="2" t="s">
        <v>1473</v>
      </c>
      <c r="N1873" s="2" t="s">
        <v>500</v>
      </c>
      <c r="O1873" s="5"/>
      <c r="P1873" s="4"/>
      <c r="Q1873" s="4"/>
      <c r="R1873" s="4"/>
      <c r="S1873" s="4"/>
      <c r="T1873" s="4"/>
      <c r="U1873" s="4"/>
      <c r="V1873" s="4"/>
      <c r="W1873" s="4"/>
      <c r="X1873" s="4"/>
      <c r="Y1873" s="4"/>
      <c r="Z1873" s="4"/>
      <c r="AA1873" s="4"/>
      <c r="AB1873" s="4"/>
      <c r="AC1873" s="4"/>
      <c r="AD1873" s="4"/>
      <c r="AE1873" s="4"/>
      <c r="AF1873" s="4"/>
      <c r="AG1873" s="4"/>
      <c r="AH1873" s="4"/>
      <c r="AI1873" s="4"/>
      <c r="AJ1873" s="4"/>
      <c r="AK1873" s="4"/>
      <c r="AL1873" s="4"/>
      <c r="AM1873" s="4"/>
      <c r="AN1873" s="4"/>
      <c r="AO1873" s="4"/>
      <c r="AP1873" s="4"/>
      <c r="AQ1873" s="4"/>
      <c r="AR1873" s="4"/>
      <c r="AS1873" s="4"/>
      <c r="AT1873" s="4"/>
      <c r="AU1873" s="4"/>
      <c r="AV1873" s="4"/>
      <c r="AW1873" s="4"/>
      <c r="AX1873" s="4"/>
      <c r="AY1873" s="4"/>
      <c r="AZ1873" s="4"/>
      <c r="BA1873" s="4"/>
      <c r="BB1873" s="4"/>
      <c r="BC1873" s="4"/>
      <c r="BD1873" s="4"/>
      <c r="BE1873" s="4"/>
      <c r="BF1873" s="4"/>
      <c r="BG1873" s="4"/>
      <c r="BH1873" s="4"/>
      <c r="BI1873" s="4"/>
      <c r="BJ1873" s="4"/>
      <c r="BK1873" s="4"/>
      <c r="BL1873" s="4"/>
      <c r="BM1873" s="4"/>
      <c r="BN1873" s="4"/>
      <c r="BO1873" s="4"/>
      <c r="BP1873" s="4"/>
      <c r="BQ1873" s="4"/>
      <c r="BR1873" s="4"/>
      <c r="BS1873" s="4"/>
      <c r="BT1873" s="4"/>
      <c r="BU1873" s="4"/>
      <c r="BV1873" s="4"/>
      <c r="BW1873" s="4"/>
      <c r="BX1873" s="4"/>
      <c r="BY1873" s="4"/>
      <c r="BZ1873" s="4"/>
      <c r="CA1873" s="4"/>
      <c r="CB1873" s="4"/>
      <c r="CC1873" s="4"/>
      <c r="CD1873" s="4"/>
      <c r="CE1873" s="4"/>
      <c r="CF1873" s="4"/>
      <c r="CG1873" s="4"/>
      <c r="CH1873" s="4"/>
      <c r="CI1873" s="4"/>
      <c r="CJ1873" s="4"/>
      <c r="CK1873" s="4"/>
      <c r="CL1873" s="4"/>
      <c r="CM1873" s="4"/>
      <c r="CN1873" s="4"/>
      <c r="CO1873" s="4"/>
      <c r="CP1873" s="4"/>
      <c r="CQ1873" s="4"/>
      <c r="CR1873" s="4"/>
      <c r="CS1873" s="4"/>
      <c r="CT1873" s="4"/>
    </row>
    <row r="1874" spans="1:98" x14ac:dyDescent="0.25">
      <c r="A1874" s="2" t="s">
        <v>15</v>
      </c>
      <c r="B1874" s="2" t="str">
        <f>"FES1162770079"</f>
        <v>FES1162770079</v>
      </c>
      <c r="C1874" s="2" t="s">
        <v>1266</v>
      </c>
      <c r="D1874" s="2">
        <v>1</v>
      </c>
      <c r="E1874" s="2" t="str">
        <f>"2170757320"</f>
        <v>2170757320</v>
      </c>
      <c r="F1874" s="2" t="s">
        <v>17</v>
      </c>
      <c r="G1874" s="2" t="s">
        <v>18</v>
      </c>
      <c r="H1874" s="2" t="s">
        <v>25</v>
      </c>
      <c r="I1874" s="2" t="s">
        <v>39</v>
      </c>
      <c r="J1874" s="2" t="s">
        <v>40</v>
      </c>
      <c r="K1874" s="2" t="s">
        <v>1353</v>
      </c>
      <c r="L1874" s="3">
        <v>0.43402777777777773</v>
      </c>
      <c r="M1874" s="2" t="s">
        <v>1464</v>
      </c>
      <c r="N1874" s="2" t="s">
        <v>500</v>
      </c>
      <c r="O1874" s="5"/>
      <c r="P1874" s="4"/>
      <c r="Q1874" s="4"/>
      <c r="R1874" s="4"/>
      <c r="S1874" s="4"/>
      <c r="T1874" s="4"/>
      <c r="U1874" s="4"/>
      <c r="V1874" s="4"/>
      <c r="W1874" s="4"/>
      <c r="X1874" s="4"/>
      <c r="Y1874" s="4"/>
      <c r="Z1874" s="4"/>
      <c r="AA1874" s="4"/>
      <c r="AB1874" s="4"/>
      <c r="AC1874" s="4"/>
      <c r="AD1874" s="4"/>
      <c r="AE1874" s="4"/>
      <c r="AF1874" s="4"/>
      <c r="AG1874" s="4"/>
      <c r="AH1874" s="4"/>
      <c r="AI1874" s="4"/>
      <c r="AJ1874" s="4"/>
      <c r="AK1874" s="4"/>
      <c r="AL1874" s="4"/>
      <c r="AM1874" s="4"/>
      <c r="AN1874" s="4"/>
      <c r="AO1874" s="4"/>
      <c r="AP1874" s="4"/>
      <c r="AQ1874" s="4"/>
      <c r="AR1874" s="4"/>
      <c r="AS1874" s="4"/>
      <c r="AT1874" s="4"/>
      <c r="AU1874" s="4"/>
      <c r="AV1874" s="4"/>
      <c r="AW1874" s="4"/>
      <c r="AX1874" s="4"/>
      <c r="AY1874" s="4"/>
      <c r="AZ1874" s="4"/>
      <c r="BA1874" s="4"/>
      <c r="BB1874" s="4"/>
      <c r="BC1874" s="4"/>
      <c r="BD1874" s="4"/>
      <c r="BE1874" s="4"/>
      <c r="BF1874" s="4"/>
      <c r="BG1874" s="4"/>
      <c r="BH1874" s="4"/>
      <c r="BI1874" s="4"/>
      <c r="BJ1874" s="4"/>
      <c r="BK1874" s="4"/>
      <c r="BL1874" s="4"/>
      <c r="BM1874" s="4"/>
      <c r="BN1874" s="4"/>
      <c r="BO1874" s="4"/>
      <c r="BP1874" s="4"/>
      <c r="BQ1874" s="4"/>
      <c r="BR1874" s="4"/>
      <c r="BS1874" s="4"/>
      <c r="BT1874" s="4"/>
      <c r="BU1874" s="4"/>
      <c r="BV1874" s="4"/>
      <c r="BW1874" s="4"/>
      <c r="BX1874" s="4"/>
      <c r="BY1874" s="4"/>
      <c r="BZ1874" s="4"/>
      <c r="CA1874" s="4"/>
      <c r="CB1874" s="4"/>
      <c r="CC1874" s="4"/>
      <c r="CD1874" s="4"/>
      <c r="CE1874" s="4"/>
      <c r="CF1874" s="4"/>
      <c r="CG1874" s="4"/>
      <c r="CH1874" s="4"/>
      <c r="CI1874" s="4"/>
      <c r="CJ1874" s="4"/>
      <c r="CK1874" s="4"/>
      <c r="CL1874" s="4"/>
      <c r="CM1874" s="4"/>
      <c r="CN1874" s="4"/>
      <c r="CO1874" s="4"/>
      <c r="CP1874" s="4"/>
      <c r="CQ1874" s="4"/>
      <c r="CR1874" s="4"/>
      <c r="CS1874" s="4"/>
      <c r="CT1874" s="4"/>
    </row>
    <row r="1875" spans="1:98" x14ac:dyDescent="0.25">
      <c r="A1875" s="2" t="s">
        <v>15</v>
      </c>
      <c r="B1875" s="2" t="str">
        <f>"FES1162770090"</f>
        <v>FES1162770090</v>
      </c>
      <c r="C1875" s="2" t="s">
        <v>1266</v>
      </c>
      <c r="D1875" s="2">
        <v>1</v>
      </c>
      <c r="E1875" s="2" t="str">
        <f>"2170757328"</f>
        <v>2170757328</v>
      </c>
      <c r="F1875" s="2" t="s">
        <v>17</v>
      </c>
      <c r="G1875" s="2" t="s">
        <v>18</v>
      </c>
      <c r="H1875" s="2" t="s">
        <v>25</v>
      </c>
      <c r="I1875" s="2" t="s">
        <v>42</v>
      </c>
      <c r="J1875" s="2" t="s">
        <v>872</v>
      </c>
      <c r="K1875" s="2" t="s">
        <v>1353</v>
      </c>
      <c r="L1875" s="3">
        <v>0.64444444444444449</v>
      </c>
      <c r="M1875" s="2" t="s">
        <v>1495</v>
      </c>
      <c r="N1875" s="2" t="s">
        <v>500</v>
      </c>
      <c r="O1875" s="5"/>
      <c r="P1875" s="4"/>
      <c r="Q1875" s="4"/>
      <c r="R1875" s="4"/>
      <c r="S1875" s="4"/>
      <c r="T1875" s="4"/>
      <c r="U1875" s="4"/>
      <c r="V1875" s="4"/>
      <c r="W1875" s="4"/>
      <c r="X1875" s="4"/>
      <c r="Y1875" s="4"/>
      <c r="Z1875" s="4"/>
      <c r="AA1875" s="4"/>
      <c r="AB1875" s="4"/>
      <c r="AC1875" s="4"/>
      <c r="AD1875" s="4"/>
      <c r="AE1875" s="4"/>
      <c r="AF1875" s="4"/>
      <c r="AG1875" s="4"/>
      <c r="AH1875" s="4"/>
      <c r="AI1875" s="4"/>
      <c r="AJ1875" s="4"/>
      <c r="AK1875" s="4"/>
      <c r="AL1875" s="4"/>
      <c r="AM1875" s="4"/>
      <c r="AN1875" s="4"/>
      <c r="AO1875" s="4"/>
      <c r="AP1875" s="4"/>
      <c r="AQ1875" s="4"/>
      <c r="AR1875" s="4"/>
      <c r="AS1875" s="4"/>
      <c r="AT1875" s="4"/>
      <c r="AU1875" s="4"/>
      <c r="AV1875" s="4"/>
      <c r="AW1875" s="4"/>
      <c r="AX1875" s="4"/>
      <c r="AY1875" s="4"/>
      <c r="AZ1875" s="4"/>
      <c r="BA1875" s="4"/>
      <c r="BB1875" s="4"/>
      <c r="BC1875" s="4"/>
      <c r="BD1875" s="4"/>
      <c r="BE1875" s="4"/>
      <c r="BF1875" s="4"/>
      <c r="BG1875" s="4"/>
      <c r="BH1875" s="4"/>
      <c r="BI1875" s="4"/>
      <c r="BJ1875" s="4"/>
      <c r="BK1875" s="4"/>
      <c r="BL1875" s="4"/>
      <c r="BM1875" s="4"/>
      <c r="BN1875" s="4"/>
      <c r="BO1875" s="4"/>
      <c r="BP1875" s="4"/>
      <c r="BQ1875" s="4"/>
      <c r="BR1875" s="4"/>
      <c r="BS1875" s="4"/>
      <c r="BT1875" s="4"/>
      <c r="BU1875" s="4"/>
      <c r="BV1875" s="4"/>
      <c r="BW1875" s="4"/>
      <c r="BX1875" s="4"/>
      <c r="BY1875" s="4"/>
      <c r="BZ1875" s="4"/>
      <c r="CA1875" s="4"/>
      <c r="CB1875" s="4"/>
      <c r="CC1875" s="4"/>
      <c r="CD1875" s="4"/>
      <c r="CE1875" s="4"/>
      <c r="CF1875" s="4"/>
      <c r="CG1875" s="4"/>
      <c r="CH1875" s="4"/>
      <c r="CI1875" s="4"/>
      <c r="CJ1875" s="4"/>
      <c r="CK1875" s="4"/>
      <c r="CL1875" s="4"/>
      <c r="CM1875" s="4"/>
      <c r="CN1875" s="4"/>
      <c r="CO1875" s="4"/>
      <c r="CP1875" s="4"/>
      <c r="CQ1875" s="4"/>
      <c r="CR1875" s="4"/>
      <c r="CS1875" s="4"/>
      <c r="CT1875" s="4"/>
    </row>
    <row r="1876" spans="1:98" x14ac:dyDescent="0.25">
      <c r="A1876" s="2" t="s">
        <v>15</v>
      </c>
      <c r="B1876" s="2" t="str">
        <f>"FES1162769887"</f>
        <v>FES1162769887</v>
      </c>
      <c r="C1876" s="2" t="s">
        <v>1266</v>
      </c>
      <c r="D1876" s="2">
        <v>1</v>
      </c>
      <c r="E1876" s="2" t="str">
        <f>"2170757188"</f>
        <v>2170757188</v>
      </c>
      <c r="F1876" s="2" t="s">
        <v>17</v>
      </c>
      <c r="G1876" s="2" t="s">
        <v>18</v>
      </c>
      <c r="H1876" s="2" t="s">
        <v>25</v>
      </c>
      <c r="I1876" s="2" t="s">
        <v>26</v>
      </c>
      <c r="J1876" s="2" t="s">
        <v>1412</v>
      </c>
      <c r="K1876" s="2" t="s">
        <v>1353</v>
      </c>
      <c r="L1876" s="3">
        <v>0.39374999999999999</v>
      </c>
      <c r="M1876" s="2" t="s">
        <v>1496</v>
      </c>
      <c r="N1876" s="2" t="s">
        <v>500</v>
      </c>
      <c r="O1876" s="5"/>
      <c r="P1876" s="4"/>
      <c r="Q1876" s="4"/>
      <c r="R1876" s="4"/>
      <c r="S1876" s="4"/>
      <c r="T1876" s="4"/>
      <c r="U1876" s="4"/>
      <c r="V1876" s="4"/>
      <c r="W1876" s="4"/>
      <c r="X1876" s="4"/>
      <c r="Y1876" s="4"/>
      <c r="Z1876" s="4"/>
      <c r="AA1876" s="4"/>
      <c r="AB1876" s="4"/>
      <c r="AC1876" s="4"/>
      <c r="AD1876" s="4"/>
      <c r="AE1876" s="4"/>
      <c r="AF1876" s="4"/>
      <c r="AG1876" s="4"/>
      <c r="AH1876" s="4"/>
      <c r="AI1876" s="4"/>
      <c r="AJ1876" s="4"/>
      <c r="AK1876" s="4"/>
      <c r="AL1876" s="4"/>
      <c r="AM1876" s="4"/>
      <c r="AN1876" s="4"/>
      <c r="AO1876" s="4"/>
      <c r="AP1876" s="4"/>
      <c r="AQ1876" s="4"/>
      <c r="AR1876" s="4"/>
      <c r="AS1876" s="4"/>
      <c r="AT1876" s="4"/>
      <c r="AU1876" s="4"/>
      <c r="AV1876" s="4"/>
      <c r="AW1876" s="4"/>
      <c r="AX1876" s="4"/>
      <c r="AY1876" s="4"/>
      <c r="AZ1876" s="4"/>
      <c r="BA1876" s="4"/>
      <c r="BB1876" s="4"/>
      <c r="BC1876" s="4"/>
      <c r="BD1876" s="4"/>
      <c r="BE1876" s="4"/>
      <c r="BF1876" s="4"/>
      <c r="BG1876" s="4"/>
      <c r="BH1876" s="4"/>
      <c r="BI1876" s="4"/>
      <c r="BJ1876" s="4"/>
      <c r="BK1876" s="4"/>
      <c r="BL1876" s="4"/>
      <c r="BM1876" s="4"/>
      <c r="BN1876" s="4"/>
      <c r="BO1876" s="4"/>
      <c r="BP1876" s="4"/>
      <c r="BQ1876" s="4"/>
      <c r="BR1876" s="4"/>
      <c r="BS1876" s="4"/>
      <c r="BT1876" s="4"/>
      <c r="BU1876" s="4"/>
      <c r="BV1876" s="4"/>
      <c r="BW1876" s="4"/>
      <c r="BX1876" s="4"/>
      <c r="BY1876" s="4"/>
      <c r="BZ1876" s="4"/>
      <c r="CA1876" s="4"/>
      <c r="CB1876" s="4"/>
      <c r="CC1876" s="4"/>
      <c r="CD1876" s="4"/>
      <c r="CE1876" s="4"/>
      <c r="CF1876" s="4"/>
      <c r="CG1876" s="4"/>
      <c r="CH1876" s="4"/>
      <c r="CI1876" s="4"/>
      <c r="CJ1876" s="4"/>
      <c r="CK1876" s="4"/>
      <c r="CL1876" s="4"/>
      <c r="CM1876" s="4"/>
      <c r="CN1876" s="4"/>
      <c r="CO1876" s="4"/>
      <c r="CP1876" s="4"/>
      <c r="CQ1876" s="4"/>
      <c r="CR1876" s="4"/>
      <c r="CS1876" s="4"/>
      <c r="CT1876" s="4"/>
    </row>
    <row r="1877" spans="1:98" x14ac:dyDescent="0.25">
      <c r="A1877" s="2" t="s">
        <v>15</v>
      </c>
      <c r="B1877" s="2" t="str">
        <f>"FES1162770081"</f>
        <v>FES1162770081</v>
      </c>
      <c r="C1877" s="2" t="s">
        <v>1266</v>
      </c>
      <c r="D1877" s="2">
        <v>1</v>
      </c>
      <c r="E1877" s="2" t="str">
        <f>"2170757324"</f>
        <v>2170757324</v>
      </c>
      <c r="F1877" s="2" t="s">
        <v>17</v>
      </c>
      <c r="G1877" s="2" t="s">
        <v>18</v>
      </c>
      <c r="H1877" s="2" t="s">
        <v>25</v>
      </c>
      <c r="I1877" s="2" t="s">
        <v>26</v>
      </c>
      <c r="J1877" s="2" t="s">
        <v>100</v>
      </c>
      <c r="K1877" s="2" t="s">
        <v>1353</v>
      </c>
      <c r="L1877" s="3">
        <v>0.33333333333333331</v>
      </c>
      <c r="M1877" s="2" t="s">
        <v>1473</v>
      </c>
      <c r="N1877" s="2" t="s">
        <v>500</v>
      </c>
      <c r="O1877" s="5"/>
      <c r="P1877" s="4"/>
      <c r="Q1877" s="4"/>
      <c r="R1877" s="4"/>
      <c r="S1877" s="4"/>
      <c r="T1877" s="4"/>
      <c r="U1877" s="4"/>
      <c r="V1877" s="4"/>
      <c r="W1877" s="4"/>
      <c r="X1877" s="4"/>
      <c r="Y1877" s="4"/>
      <c r="Z1877" s="4"/>
      <c r="AA1877" s="4"/>
      <c r="AB1877" s="4"/>
      <c r="AC1877" s="4"/>
      <c r="AD1877" s="4"/>
      <c r="AE1877" s="4"/>
      <c r="AF1877" s="4"/>
      <c r="AG1877" s="4"/>
      <c r="AH1877" s="4"/>
      <c r="AI1877" s="4"/>
      <c r="AJ1877" s="4"/>
      <c r="AK1877" s="4"/>
      <c r="AL1877" s="4"/>
      <c r="AM1877" s="4"/>
      <c r="AN1877" s="4"/>
      <c r="AO1877" s="4"/>
      <c r="AP1877" s="4"/>
      <c r="AQ1877" s="4"/>
      <c r="AR1877" s="4"/>
      <c r="AS1877" s="4"/>
      <c r="AT1877" s="4"/>
      <c r="AU1877" s="4"/>
      <c r="AV1877" s="4"/>
      <c r="AW1877" s="4"/>
      <c r="AX1877" s="4"/>
      <c r="AY1877" s="4"/>
      <c r="AZ1877" s="4"/>
      <c r="BA1877" s="4"/>
      <c r="BB1877" s="4"/>
      <c r="BC1877" s="4"/>
      <c r="BD1877" s="4"/>
      <c r="BE1877" s="4"/>
      <c r="BF1877" s="4"/>
      <c r="BG1877" s="4"/>
      <c r="BH1877" s="4"/>
      <c r="BI1877" s="4"/>
      <c r="BJ1877" s="4"/>
      <c r="BK1877" s="4"/>
      <c r="BL1877" s="4"/>
      <c r="BM1877" s="4"/>
      <c r="BN1877" s="4"/>
      <c r="BO1877" s="4"/>
      <c r="BP1877" s="4"/>
      <c r="BQ1877" s="4"/>
      <c r="BR1877" s="4"/>
      <c r="BS1877" s="4"/>
      <c r="BT1877" s="4"/>
      <c r="BU1877" s="4"/>
      <c r="BV1877" s="4"/>
      <c r="BW1877" s="4"/>
      <c r="BX1877" s="4"/>
      <c r="BY1877" s="4"/>
      <c r="BZ1877" s="4"/>
      <c r="CA1877" s="4"/>
      <c r="CB1877" s="4"/>
      <c r="CC1877" s="4"/>
      <c r="CD1877" s="4"/>
      <c r="CE1877" s="4"/>
      <c r="CF1877" s="4"/>
      <c r="CG1877" s="4"/>
      <c r="CH1877" s="4"/>
      <c r="CI1877" s="4"/>
      <c r="CJ1877" s="4"/>
      <c r="CK1877" s="4"/>
      <c r="CL1877" s="4"/>
      <c r="CM1877" s="4"/>
      <c r="CN1877" s="4"/>
      <c r="CO1877" s="4"/>
      <c r="CP1877" s="4"/>
      <c r="CQ1877" s="4"/>
      <c r="CR1877" s="4"/>
      <c r="CS1877" s="4"/>
      <c r="CT1877" s="4"/>
    </row>
    <row r="1878" spans="1:98" x14ac:dyDescent="0.25">
      <c r="A1878" s="2" t="s">
        <v>15</v>
      </c>
      <c r="B1878" s="2" t="str">
        <f>"FES1162770058"</f>
        <v>FES1162770058</v>
      </c>
      <c r="C1878" s="2" t="s">
        <v>1266</v>
      </c>
      <c r="D1878" s="2">
        <v>1</v>
      </c>
      <c r="E1878" s="2" t="str">
        <f>"2170757292"</f>
        <v>2170757292</v>
      </c>
      <c r="F1878" s="2" t="s">
        <v>17</v>
      </c>
      <c r="G1878" s="2" t="s">
        <v>18</v>
      </c>
      <c r="H1878" s="2" t="s">
        <v>25</v>
      </c>
      <c r="I1878" s="2" t="s">
        <v>42</v>
      </c>
      <c r="J1878" s="2" t="s">
        <v>416</v>
      </c>
      <c r="K1878" s="2" t="s">
        <v>1353</v>
      </c>
      <c r="L1878" s="3">
        <v>0.62847222222222221</v>
      </c>
      <c r="M1878" s="2" t="s">
        <v>688</v>
      </c>
      <c r="N1878" s="2" t="s">
        <v>500</v>
      </c>
      <c r="O1878" s="5"/>
      <c r="P1878" s="4"/>
      <c r="Q1878" s="4"/>
      <c r="R1878" s="4"/>
      <c r="S1878" s="4"/>
      <c r="T1878" s="4"/>
      <c r="U1878" s="4"/>
      <c r="V1878" s="4"/>
      <c r="W1878" s="4"/>
      <c r="X1878" s="4"/>
      <c r="Y1878" s="4"/>
      <c r="Z1878" s="4"/>
      <c r="AA1878" s="4"/>
      <c r="AB1878" s="4"/>
      <c r="AC1878" s="4"/>
      <c r="AD1878" s="4"/>
      <c r="AE1878" s="4"/>
      <c r="AF1878" s="4"/>
      <c r="AG1878" s="4"/>
      <c r="AH1878" s="4"/>
      <c r="AI1878" s="4"/>
      <c r="AJ1878" s="4"/>
      <c r="AK1878" s="4"/>
      <c r="AL1878" s="4"/>
      <c r="AM1878" s="4"/>
      <c r="AN1878" s="4"/>
      <c r="AO1878" s="4"/>
      <c r="AP1878" s="4"/>
      <c r="AQ1878" s="4"/>
      <c r="AR1878" s="4"/>
      <c r="AS1878" s="4"/>
      <c r="AT1878" s="4"/>
      <c r="AU1878" s="4"/>
      <c r="AV1878" s="4"/>
      <c r="AW1878" s="4"/>
      <c r="AX1878" s="4"/>
      <c r="AY1878" s="4"/>
      <c r="AZ1878" s="4"/>
      <c r="BA1878" s="4"/>
      <c r="BB1878" s="4"/>
      <c r="BC1878" s="4"/>
      <c r="BD1878" s="4"/>
      <c r="BE1878" s="4"/>
      <c r="BF1878" s="4"/>
      <c r="BG1878" s="4"/>
      <c r="BH1878" s="4"/>
      <c r="BI1878" s="4"/>
      <c r="BJ1878" s="4"/>
      <c r="BK1878" s="4"/>
      <c r="BL1878" s="4"/>
      <c r="BM1878" s="4"/>
      <c r="BN1878" s="4"/>
      <c r="BO1878" s="4"/>
      <c r="BP1878" s="4"/>
      <c r="BQ1878" s="4"/>
      <c r="BR1878" s="4"/>
      <c r="BS1878" s="4"/>
      <c r="BT1878" s="4"/>
      <c r="BU1878" s="4"/>
      <c r="BV1878" s="4"/>
      <c r="BW1878" s="4"/>
      <c r="BX1878" s="4"/>
      <c r="BY1878" s="4"/>
      <c r="BZ1878" s="4"/>
      <c r="CA1878" s="4"/>
      <c r="CB1878" s="4"/>
      <c r="CC1878" s="4"/>
      <c r="CD1878" s="4"/>
      <c r="CE1878" s="4"/>
      <c r="CF1878" s="4"/>
      <c r="CG1878" s="4"/>
      <c r="CH1878" s="4"/>
      <c r="CI1878" s="4"/>
      <c r="CJ1878" s="4"/>
      <c r="CK1878" s="4"/>
      <c r="CL1878" s="4"/>
      <c r="CM1878" s="4"/>
      <c r="CN1878" s="4"/>
      <c r="CO1878" s="4"/>
      <c r="CP1878" s="4"/>
      <c r="CQ1878" s="4"/>
      <c r="CR1878" s="4"/>
      <c r="CS1878" s="4"/>
      <c r="CT1878" s="4"/>
    </row>
    <row r="1879" spans="1:98" x14ac:dyDescent="0.25">
      <c r="A1879" s="2" t="s">
        <v>15</v>
      </c>
      <c r="B1879" s="2" t="str">
        <f>"FES1162770099"</f>
        <v>FES1162770099</v>
      </c>
      <c r="C1879" s="2" t="s">
        <v>1266</v>
      </c>
      <c r="D1879" s="2">
        <v>1</v>
      </c>
      <c r="E1879" s="2" t="str">
        <f>"2170757346"</f>
        <v>2170757346</v>
      </c>
      <c r="F1879" s="2" t="s">
        <v>17</v>
      </c>
      <c r="G1879" s="2" t="s">
        <v>18</v>
      </c>
      <c r="H1879" s="2" t="s">
        <v>25</v>
      </c>
      <c r="I1879" s="2" t="s">
        <v>42</v>
      </c>
      <c r="J1879" s="2" t="s">
        <v>416</v>
      </c>
      <c r="K1879" s="2" t="s">
        <v>1353</v>
      </c>
      <c r="L1879" s="3">
        <v>0.62847222222222221</v>
      </c>
      <c r="M1879" s="2" t="s">
        <v>688</v>
      </c>
      <c r="N1879" s="2" t="s">
        <v>500</v>
      </c>
      <c r="O1879" s="5"/>
      <c r="P1879" s="4"/>
      <c r="Q1879" s="4"/>
      <c r="R1879" s="4"/>
      <c r="S1879" s="4"/>
      <c r="T1879" s="4"/>
      <c r="U1879" s="4"/>
      <c r="V1879" s="4"/>
      <c r="W1879" s="4"/>
      <c r="X1879" s="4"/>
      <c r="Y1879" s="4"/>
      <c r="Z1879" s="4"/>
      <c r="AA1879" s="4"/>
      <c r="AB1879" s="4"/>
      <c r="AC1879" s="4"/>
      <c r="AD1879" s="4"/>
      <c r="AE1879" s="4"/>
      <c r="AF1879" s="4"/>
      <c r="AG1879" s="4"/>
      <c r="AH1879" s="4"/>
      <c r="AI1879" s="4"/>
      <c r="AJ1879" s="4"/>
      <c r="AK1879" s="4"/>
      <c r="AL1879" s="4"/>
      <c r="AM1879" s="4"/>
      <c r="AN1879" s="4"/>
      <c r="AO1879" s="4"/>
      <c r="AP1879" s="4"/>
      <c r="AQ1879" s="4"/>
      <c r="AR1879" s="4"/>
      <c r="AS1879" s="4"/>
      <c r="AT1879" s="4"/>
      <c r="AU1879" s="4"/>
      <c r="AV1879" s="4"/>
      <c r="AW1879" s="4"/>
      <c r="AX1879" s="4"/>
      <c r="AY1879" s="4"/>
      <c r="AZ1879" s="4"/>
      <c r="BA1879" s="4"/>
      <c r="BB1879" s="4"/>
      <c r="BC1879" s="4"/>
      <c r="BD1879" s="4"/>
      <c r="BE1879" s="4"/>
      <c r="BF1879" s="4"/>
      <c r="BG1879" s="4"/>
      <c r="BH1879" s="4"/>
      <c r="BI1879" s="4"/>
      <c r="BJ1879" s="4"/>
      <c r="BK1879" s="4"/>
      <c r="BL1879" s="4"/>
      <c r="BM1879" s="4"/>
      <c r="BN1879" s="4"/>
      <c r="BO1879" s="4"/>
      <c r="BP1879" s="4"/>
      <c r="BQ1879" s="4"/>
      <c r="BR1879" s="4"/>
      <c r="BS1879" s="4"/>
      <c r="BT1879" s="4"/>
      <c r="BU1879" s="4"/>
      <c r="BV1879" s="4"/>
      <c r="BW1879" s="4"/>
      <c r="BX1879" s="4"/>
      <c r="BY1879" s="4"/>
      <c r="BZ1879" s="4"/>
      <c r="CA1879" s="4"/>
      <c r="CB1879" s="4"/>
      <c r="CC1879" s="4"/>
      <c r="CD1879" s="4"/>
      <c r="CE1879" s="4"/>
      <c r="CF1879" s="4"/>
      <c r="CG1879" s="4"/>
      <c r="CH1879" s="4"/>
      <c r="CI1879" s="4"/>
      <c r="CJ1879" s="4"/>
      <c r="CK1879" s="4"/>
      <c r="CL1879" s="4"/>
      <c r="CM1879" s="4"/>
      <c r="CN1879" s="4"/>
      <c r="CO1879" s="4"/>
      <c r="CP1879" s="4"/>
      <c r="CQ1879" s="4"/>
      <c r="CR1879" s="4"/>
      <c r="CS1879" s="4"/>
      <c r="CT1879" s="4"/>
    </row>
    <row r="1880" spans="1:98" x14ac:dyDescent="0.25">
      <c r="A1880" s="2" t="s">
        <v>15</v>
      </c>
      <c r="B1880" s="2" t="str">
        <f>"FES1162770092"</f>
        <v>FES1162770092</v>
      </c>
      <c r="C1880" s="2" t="s">
        <v>1266</v>
      </c>
      <c r="D1880" s="2">
        <v>1</v>
      </c>
      <c r="E1880" s="2" t="str">
        <f>"2170757339"</f>
        <v>2170757339</v>
      </c>
      <c r="F1880" s="2" t="s">
        <v>17</v>
      </c>
      <c r="G1880" s="2" t="s">
        <v>18</v>
      </c>
      <c r="H1880" s="2" t="s">
        <v>25</v>
      </c>
      <c r="I1880" s="2" t="s">
        <v>125</v>
      </c>
      <c r="J1880" s="2" t="s">
        <v>126</v>
      </c>
      <c r="K1880" s="2" t="s">
        <v>1353</v>
      </c>
      <c r="L1880" s="3">
        <v>0.53611111111111109</v>
      </c>
      <c r="M1880" s="2" t="s">
        <v>1474</v>
      </c>
      <c r="N1880" s="2" t="s">
        <v>500</v>
      </c>
      <c r="O1880" s="5"/>
      <c r="P1880" s="4"/>
      <c r="Q1880" s="4"/>
      <c r="R1880" s="4"/>
      <c r="S1880" s="4"/>
      <c r="T1880" s="4"/>
      <c r="U1880" s="4"/>
      <c r="V1880" s="4"/>
      <c r="W1880" s="4"/>
      <c r="X1880" s="4"/>
      <c r="Y1880" s="4"/>
      <c r="Z1880" s="4"/>
      <c r="AA1880" s="4"/>
      <c r="AB1880" s="4"/>
      <c r="AC1880" s="4"/>
      <c r="AD1880" s="4"/>
      <c r="AE1880" s="4"/>
      <c r="AF1880" s="4"/>
      <c r="AG1880" s="4"/>
      <c r="AH1880" s="4"/>
      <c r="AI1880" s="4"/>
      <c r="AJ1880" s="4"/>
      <c r="AK1880" s="4"/>
      <c r="AL1880" s="4"/>
      <c r="AM1880" s="4"/>
      <c r="AN1880" s="4"/>
      <c r="AO1880" s="4"/>
      <c r="AP1880" s="4"/>
      <c r="AQ1880" s="4"/>
      <c r="AR1880" s="4"/>
      <c r="AS1880" s="4"/>
      <c r="AT1880" s="4"/>
      <c r="AU1880" s="4"/>
      <c r="AV1880" s="4"/>
      <c r="AW1880" s="4"/>
      <c r="AX1880" s="4"/>
      <c r="AY1880" s="4"/>
      <c r="AZ1880" s="4"/>
      <c r="BA1880" s="4"/>
      <c r="BB1880" s="4"/>
      <c r="BC1880" s="4"/>
      <c r="BD1880" s="4"/>
      <c r="BE1880" s="4"/>
      <c r="BF1880" s="4"/>
      <c r="BG1880" s="4"/>
      <c r="BH1880" s="4"/>
      <c r="BI1880" s="4"/>
      <c r="BJ1880" s="4"/>
      <c r="BK1880" s="4"/>
      <c r="BL1880" s="4"/>
      <c r="BM1880" s="4"/>
      <c r="BN1880" s="4"/>
      <c r="BO1880" s="4"/>
      <c r="BP1880" s="4"/>
      <c r="BQ1880" s="4"/>
      <c r="BR1880" s="4"/>
      <c r="BS1880" s="4"/>
      <c r="BT1880" s="4"/>
      <c r="BU1880" s="4"/>
      <c r="BV1880" s="4"/>
      <c r="BW1880" s="4"/>
      <c r="BX1880" s="4"/>
      <c r="BY1880" s="4"/>
      <c r="BZ1880" s="4"/>
      <c r="CA1880" s="4"/>
      <c r="CB1880" s="4"/>
      <c r="CC1880" s="4"/>
      <c r="CD1880" s="4"/>
      <c r="CE1880" s="4"/>
      <c r="CF1880" s="4"/>
      <c r="CG1880" s="4"/>
      <c r="CH1880" s="4"/>
      <c r="CI1880" s="4"/>
      <c r="CJ1880" s="4"/>
      <c r="CK1880" s="4"/>
      <c r="CL1880" s="4"/>
      <c r="CM1880" s="4"/>
      <c r="CN1880" s="4"/>
      <c r="CO1880" s="4"/>
      <c r="CP1880" s="4"/>
      <c r="CQ1880" s="4"/>
      <c r="CR1880" s="4"/>
      <c r="CS1880" s="4"/>
      <c r="CT1880" s="4"/>
    </row>
    <row r="1881" spans="1:98" x14ac:dyDescent="0.25">
      <c r="A1881" s="2" t="s">
        <v>15</v>
      </c>
      <c r="B1881" s="2" t="str">
        <f>"FES1162769819"</f>
        <v>FES1162769819</v>
      </c>
      <c r="C1881" s="2" t="s">
        <v>1266</v>
      </c>
      <c r="D1881" s="2">
        <v>1</v>
      </c>
      <c r="E1881" s="2" t="str">
        <f>"2170757077"</f>
        <v>2170757077</v>
      </c>
      <c r="F1881" s="2" t="s">
        <v>17</v>
      </c>
      <c r="G1881" s="2" t="s">
        <v>18</v>
      </c>
      <c r="H1881" s="2" t="s">
        <v>19</v>
      </c>
      <c r="I1881" s="2" t="s">
        <v>20</v>
      </c>
      <c r="J1881" s="2" t="s">
        <v>767</v>
      </c>
      <c r="K1881" s="2" t="s">
        <v>1353</v>
      </c>
      <c r="L1881" s="3">
        <v>0.33194444444444443</v>
      </c>
      <c r="M1881" s="2" t="s">
        <v>826</v>
      </c>
      <c r="N1881" s="2" t="s">
        <v>500</v>
      </c>
      <c r="O1881" s="5"/>
      <c r="P1881" s="4"/>
      <c r="Q1881" s="4"/>
      <c r="R1881" s="4"/>
      <c r="S1881" s="4"/>
      <c r="T1881" s="4"/>
      <c r="U1881" s="4"/>
      <c r="V1881" s="4"/>
      <c r="W1881" s="4"/>
      <c r="X1881" s="4"/>
      <c r="Y1881" s="4"/>
      <c r="Z1881" s="4"/>
      <c r="AA1881" s="4"/>
      <c r="AB1881" s="4"/>
      <c r="AC1881" s="4"/>
      <c r="AD1881" s="4"/>
      <c r="AE1881" s="4"/>
      <c r="AF1881" s="4"/>
      <c r="AG1881" s="4"/>
      <c r="AH1881" s="4"/>
      <c r="AI1881" s="4"/>
      <c r="AJ1881" s="4"/>
      <c r="AK1881" s="4"/>
      <c r="AL1881" s="4"/>
      <c r="AM1881" s="4"/>
      <c r="AN1881" s="4"/>
      <c r="AO1881" s="4"/>
      <c r="AP1881" s="4"/>
      <c r="AQ1881" s="4"/>
      <c r="AR1881" s="4"/>
      <c r="AS1881" s="4"/>
      <c r="AT1881" s="4"/>
      <c r="AU1881" s="4"/>
      <c r="AV1881" s="4"/>
      <c r="AW1881" s="4"/>
      <c r="AX1881" s="4"/>
      <c r="AY1881" s="4"/>
      <c r="AZ1881" s="4"/>
      <c r="BA1881" s="4"/>
      <c r="BB1881" s="4"/>
      <c r="BC1881" s="4"/>
      <c r="BD1881" s="4"/>
      <c r="BE1881" s="4"/>
      <c r="BF1881" s="4"/>
      <c r="BG1881" s="4"/>
      <c r="BH1881" s="4"/>
      <c r="BI1881" s="4"/>
      <c r="BJ1881" s="4"/>
      <c r="BK1881" s="4"/>
      <c r="BL1881" s="4"/>
      <c r="BM1881" s="4"/>
      <c r="BN1881" s="4"/>
      <c r="BO1881" s="4"/>
      <c r="BP1881" s="4"/>
      <c r="BQ1881" s="4"/>
      <c r="BR1881" s="4"/>
      <c r="BS1881" s="4"/>
      <c r="BT1881" s="4"/>
      <c r="BU1881" s="4"/>
      <c r="BV1881" s="4"/>
      <c r="BW1881" s="4"/>
      <c r="BX1881" s="4"/>
      <c r="BY1881" s="4"/>
      <c r="BZ1881" s="4"/>
      <c r="CA1881" s="4"/>
      <c r="CB1881" s="4"/>
      <c r="CC1881" s="4"/>
      <c r="CD1881" s="4"/>
      <c r="CE1881" s="4"/>
      <c r="CF1881" s="4"/>
      <c r="CG1881" s="4"/>
      <c r="CH1881" s="4"/>
      <c r="CI1881" s="4"/>
      <c r="CJ1881" s="4"/>
      <c r="CK1881" s="4"/>
      <c r="CL1881" s="4"/>
      <c r="CM1881" s="4"/>
      <c r="CN1881" s="4"/>
      <c r="CO1881" s="4"/>
      <c r="CP1881" s="4"/>
      <c r="CQ1881" s="4"/>
      <c r="CR1881" s="4"/>
      <c r="CS1881" s="4"/>
      <c r="CT1881" s="4"/>
    </row>
    <row r="1882" spans="1:98" x14ac:dyDescent="0.25">
      <c r="A1882" s="2" t="s">
        <v>15</v>
      </c>
      <c r="B1882" s="2" t="str">
        <f>"FES1162769898"</f>
        <v>FES1162769898</v>
      </c>
      <c r="C1882" s="2" t="s">
        <v>1266</v>
      </c>
      <c r="D1882" s="2">
        <v>1</v>
      </c>
      <c r="E1882" s="2" t="str">
        <f>"2170757201"</f>
        <v>2170757201</v>
      </c>
      <c r="F1882" s="2" t="s">
        <v>17</v>
      </c>
      <c r="G1882" s="2" t="s">
        <v>18</v>
      </c>
      <c r="H1882" s="2" t="s">
        <v>25</v>
      </c>
      <c r="I1882" s="2" t="s">
        <v>125</v>
      </c>
      <c r="J1882" s="2" t="s">
        <v>126</v>
      </c>
      <c r="K1882" s="2" t="s">
        <v>1353</v>
      </c>
      <c r="L1882" s="3">
        <v>0.53611111111111109</v>
      </c>
      <c r="M1882" s="2" t="s">
        <v>1474</v>
      </c>
      <c r="N1882" s="2" t="s">
        <v>500</v>
      </c>
      <c r="O1882" s="5"/>
      <c r="P1882" s="4"/>
      <c r="Q1882" s="4"/>
      <c r="R1882" s="4"/>
      <c r="S1882" s="4"/>
      <c r="T1882" s="4"/>
      <c r="U1882" s="4"/>
      <c r="V1882" s="4"/>
      <c r="W1882" s="4"/>
      <c r="X1882" s="4"/>
      <c r="Y1882" s="4"/>
      <c r="Z1882" s="4"/>
      <c r="AA1882" s="4"/>
      <c r="AB1882" s="4"/>
      <c r="AC1882" s="4"/>
      <c r="AD1882" s="4"/>
      <c r="AE1882" s="4"/>
      <c r="AF1882" s="4"/>
      <c r="AG1882" s="4"/>
      <c r="AH1882" s="4"/>
      <c r="AI1882" s="4"/>
      <c r="AJ1882" s="4"/>
      <c r="AK1882" s="4"/>
      <c r="AL1882" s="4"/>
      <c r="AM1882" s="4"/>
      <c r="AN1882" s="4"/>
      <c r="AO1882" s="4"/>
      <c r="AP1882" s="4"/>
      <c r="AQ1882" s="4"/>
      <c r="AR1882" s="4"/>
      <c r="AS1882" s="4"/>
      <c r="AT1882" s="4"/>
      <c r="AU1882" s="4"/>
      <c r="AV1882" s="4"/>
      <c r="AW1882" s="4"/>
      <c r="AX1882" s="4"/>
      <c r="AY1882" s="4"/>
      <c r="AZ1882" s="4"/>
      <c r="BA1882" s="4"/>
      <c r="BB1882" s="4"/>
      <c r="BC1882" s="4"/>
      <c r="BD1882" s="4"/>
      <c r="BE1882" s="4"/>
      <c r="BF1882" s="4"/>
      <c r="BG1882" s="4"/>
      <c r="BH1882" s="4"/>
      <c r="BI1882" s="4"/>
      <c r="BJ1882" s="4"/>
      <c r="BK1882" s="4"/>
      <c r="BL1882" s="4"/>
      <c r="BM1882" s="4"/>
      <c r="BN1882" s="4"/>
      <c r="BO1882" s="4"/>
      <c r="BP1882" s="4"/>
      <c r="BQ1882" s="4"/>
      <c r="BR1882" s="4"/>
      <c r="BS1882" s="4"/>
      <c r="BT1882" s="4"/>
      <c r="BU1882" s="4"/>
      <c r="BV1882" s="4"/>
      <c r="BW1882" s="4"/>
      <c r="BX1882" s="4"/>
      <c r="BY1882" s="4"/>
      <c r="BZ1882" s="4"/>
      <c r="CA1882" s="4"/>
      <c r="CB1882" s="4"/>
      <c r="CC1882" s="4"/>
      <c r="CD1882" s="4"/>
      <c r="CE1882" s="4"/>
      <c r="CF1882" s="4"/>
      <c r="CG1882" s="4"/>
      <c r="CH1882" s="4"/>
      <c r="CI1882" s="4"/>
      <c r="CJ1882" s="4"/>
      <c r="CK1882" s="4"/>
      <c r="CL1882" s="4"/>
      <c r="CM1882" s="4"/>
      <c r="CN1882" s="4"/>
      <c r="CO1882" s="4"/>
      <c r="CP1882" s="4"/>
      <c r="CQ1882" s="4"/>
      <c r="CR1882" s="4"/>
      <c r="CS1882" s="4"/>
      <c r="CT1882" s="4"/>
    </row>
    <row r="1883" spans="1:98" x14ac:dyDescent="0.25">
      <c r="A1883" s="2" t="s">
        <v>15</v>
      </c>
      <c r="B1883" s="2" t="str">
        <f>"FES1162769485"</f>
        <v>FES1162769485</v>
      </c>
      <c r="C1883" s="2" t="s">
        <v>1266</v>
      </c>
      <c r="D1883" s="2">
        <v>1</v>
      </c>
      <c r="E1883" s="2" t="str">
        <f>"2170754783"</f>
        <v>2170754783</v>
      </c>
      <c r="F1883" s="2" t="s">
        <v>17</v>
      </c>
      <c r="G1883" s="2" t="s">
        <v>18</v>
      </c>
      <c r="H1883" s="2" t="s">
        <v>25</v>
      </c>
      <c r="I1883" s="2" t="s">
        <v>26</v>
      </c>
      <c r="J1883" s="2" t="s">
        <v>27</v>
      </c>
      <c r="K1883" s="2" t="s">
        <v>1353</v>
      </c>
      <c r="L1883" s="3">
        <v>0.40486111111111112</v>
      </c>
      <c r="M1883" s="2" t="s">
        <v>521</v>
      </c>
      <c r="N1883" s="2" t="s">
        <v>500</v>
      </c>
      <c r="O1883" s="5"/>
      <c r="P1883" s="4"/>
      <c r="Q1883" s="4"/>
      <c r="R1883" s="4"/>
      <c r="S1883" s="4"/>
      <c r="T1883" s="4"/>
      <c r="U1883" s="4"/>
      <c r="V1883" s="4"/>
      <c r="W1883" s="4"/>
      <c r="X1883" s="4"/>
      <c r="Y1883" s="4"/>
      <c r="Z1883" s="4"/>
      <c r="AA1883" s="4"/>
      <c r="AB1883" s="4"/>
      <c r="AC1883" s="4"/>
      <c r="AD1883" s="4"/>
      <c r="AE1883" s="4"/>
      <c r="AF1883" s="4"/>
      <c r="AG1883" s="4"/>
      <c r="AH1883" s="4"/>
      <c r="AI1883" s="4"/>
      <c r="AJ1883" s="4"/>
      <c r="AK1883" s="4"/>
      <c r="AL1883" s="4"/>
      <c r="AM1883" s="4"/>
      <c r="AN1883" s="4"/>
      <c r="AO1883" s="4"/>
      <c r="AP1883" s="4"/>
      <c r="AQ1883" s="4"/>
      <c r="AR1883" s="4"/>
      <c r="AS1883" s="4"/>
      <c r="AT1883" s="4"/>
      <c r="AU1883" s="4"/>
      <c r="AV1883" s="4"/>
      <c r="AW1883" s="4"/>
      <c r="AX1883" s="4"/>
      <c r="AY1883" s="4"/>
      <c r="AZ1883" s="4"/>
      <c r="BA1883" s="4"/>
      <c r="BB1883" s="4"/>
      <c r="BC1883" s="4"/>
      <c r="BD1883" s="4"/>
      <c r="BE1883" s="4"/>
      <c r="BF1883" s="4"/>
      <c r="BG1883" s="4"/>
      <c r="BH1883" s="4"/>
      <c r="BI1883" s="4"/>
      <c r="BJ1883" s="4"/>
      <c r="BK1883" s="4"/>
      <c r="BL1883" s="4"/>
      <c r="BM1883" s="4"/>
      <c r="BN1883" s="4"/>
      <c r="BO1883" s="4"/>
      <c r="BP1883" s="4"/>
      <c r="BQ1883" s="4"/>
      <c r="BR1883" s="4"/>
      <c r="BS1883" s="4"/>
      <c r="BT1883" s="4"/>
      <c r="BU1883" s="4"/>
      <c r="BV1883" s="4"/>
      <c r="BW1883" s="4"/>
      <c r="BX1883" s="4"/>
      <c r="BY1883" s="4"/>
      <c r="BZ1883" s="4"/>
      <c r="CA1883" s="4"/>
      <c r="CB1883" s="4"/>
      <c r="CC1883" s="4"/>
      <c r="CD1883" s="4"/>
      <c r="CE1883" s="4"/>
      <c r="CF1883" s="4"/>
      <c r="CG1883" s="4"/>
      <c r="CH1883" s="4"/>
      <c r="CI1883" s="4"/>
      <c r="CJ1883" s="4"/>
      <c r="CK1883" s="4"/>
      <c r="CL1883" s="4"/>
      <c r="CM1883" s="4"/>
      <c r="CN1883" s="4"/>
      <c r="CO1883" s="4"/>
      <c r="CP1883" s="4"/>
      <c r="CQ1883" s="4"/>
      <c r="CR1883" s="4"/>
      <c r="CS1883" s="4"/>
      <c r="CT1883" s="4"/>
    </row>
    <row r="1884" spans="1:98" x14ac:dyDescent="0.25">
      <c r="A1884" s="2" t="s">
        <v>15</v>
      </c>
      <c r="B1884" s="2" t="str">
        <f>"FES1162769945"</f>
        <v>FES1162769945</v>
      </c>
      <c r="C1884" s="2" t="s">
        <v>1266</v>
      </c>
      <c r="D1884" s="2">
        <v>1</v>
      </c>
      <c r="E1884" s="2" t="str">
        <f>"217075419"</f>
        <v>217075419</v>
      </c>
      <c r="F1884" s="2" t="s">
        <v>17</v>
      </c>
      <c r="G1884" s="2" t="s">
        <v>18</v>
      </c>
      <c r="H1884" s="2" t="s">
        <v>36</v>
      </c>
      <c r="I1884" s="2" t="s">
        <v>37</v>
      </c>
      <c r="J1884" s="2" t="s">
        <v>403</v>
      </c>
      <c r="K1884" s="2" t="s">
        <v>1353</v>
      </c>
      <c r="L1884" s="3">
        <v>0.40625</v>
      </c>
      <c r="M1884" s="2" t="s">
        <v>1497</v>
      </c>
      <c r="N1884" s="2" t="s">
        <v>500</v>
      </c>
      <c r="O1884" s="5"/>
      <c r="P1884" s="4"/>
      <c r="Q1884" s="4"/>
      <c r="R1884" s="4"/>
      <c r="S1884" s="4"/>
      <c r="T1884" s="4"/>
      <c r="U1884" s="4"/>
      <c r="V1884" s="4"/>
      <c r="W1884" s="4"/>
      <c r="X1884" s="4"/>
      <c r="Y1884" s="4"/>
      <c r="Z1884" s="4"/>
      <c r="AA1884" s="4"/>
      <c r="AB1884" s="4"/>
      <c r="AC1884" s="4"/>
      <c r="AD1884" s="4"/>
      <c r="AE1884" s="4"/>
      <c r="AF1884" s="4"/>
      <c r="AG1884" s="4"/>
      <c r="AH1884" s="4"/>
      <c r="AI1884" s="4"/>
      <c r="AJ1884" s="4"/>
      <c r="AK1884" s="4"/>
      <c r="AL1884" s="4"/>
      <c r="AM1884" s="4"/>
      <c r="AN1884" s="4"/>
      <c r="AO1884" s="4"/>
      <c r="AP1884" s="4"/>
      <c r="AQ1884" s="4"/>
      <c r="AR1884" s="4"/>
      <c r="AS1884" s="4"/>
      <c r="AT1884" s="4"/>
      <c r="AU1884" s="4"/>
      <c r="AV1884" s="4"/>
      <c r="AW1884" s="4"/>
      <c r="AX1884" s="4"/>
      <c r="AY1884" s="4"/>
      <c r="AZ1884" s="4"/>
      <c r="BA1884" s="4"/>
      <c r="BB1884" s="4"/>
      <c r="BC1884" s="4"/>
      <c r="BD1884" s="4"/>
      <c r="BE1884" s="4"/>
      <c r="BF1884" s="4"/>
      <c r="BG1884" s="4"/>
      <c r="BH1884" s="4"/>
      <c r="BI1884" s="4"/>
      <c r="BJ1884" s="4"/>
      <c r="BK1884" s="4"/>
      <c r="BL1884" s="4"/>
      <c r="BM1884" s="4"/>
      <c r="BN1884" s="4"/>
      <c r="BO1884" s="4"/>
      <c r="BP1884" s="4"/>
      <c r="BQ1884" s="4"/>
      <c r="BR1884" s="4"/>
      <c r="BS1884" s="4"/>
      <c r="BT1884" s="4"/>
      <c r="BU1884" s="4"/>
      <c r="BV1884" s="4"/>
      <c r="BW1884" s="4"/>
      <c r="BX1884" s="4"/>
      <c r="BY1884" s="4"/>
      <c r="BZ1884" s="4"/>
      <c r="CA1884" s="4"/>
      <c r="CB1884" s="4"/>
      <c r="CC1884" s="4"/>
      <c r="CD1884" s="4"/>
      <c r="CE1884" s="4"/>
      <c r="CF1884" s="4"/>
      <c r="CG1884" s="4"/>
      <c r="CH1884" s="4"/>
      <c r="CI1884" s="4"/>
      <c r="CJ1884" s="4"/>
      <c r="CK1884" s="4"/>
      <c r="CL1884" s="4"/>
      <c r="CM1884" s="4"/>
      <c r="CN1884" s="4"/>
      <c r="CO1884" s="4"/>
      <c r="CP1884" s="4"/>
      <c r="CQ1884" s="4"/>
      <c r="CR1884" s="4"/>
      <c r="CS1884" s="4"/>
      <c r="CT1884" s="4"/>
    </row>
    <row r="1885" spans="1:98" x14ac:dyDescent="0.25">
      <c r="A1885" s="2" t="s">
        <v>15</v>
      </c>
      <c r="B1885" s="2" t="str">
        <f>"FES1162769706"</f>
        <v>FES1162769706</v>
      </c>
      <c r="C1885" s="2" t="s">
        <v>1266</v>
      </c>
      <c r="D1885" s="2">
        <v>1</v>
      </c>
      <c r="E1885" s="2" t="str">
        <f>"2170756845"</f>
        <v>2170756845</v>
      </c>
      <c r="F1885" s="2" t="s">
        <v>17</v>
      </c>
      <c r="G1885" s="2" t="s">
        <v>18</v>
      </c>
      <c r="H1885" s="2" t="s">
        <v>36</v>
      </c>
      <c r="I1885" s="2" t="s">
        <v>37</v>
      </c>
      <c r="J1885" s="2" t="s">
        <v>378</v>
      </c>
      <c r="K1885" s="2" t="s">
        <v>1353</v>
      </c>
      <c r="L1885" s="3">
        <v>0.40277777777777773</v>
      </c>
      <c r="M1885" s="2" t="s">
        <v>379</v>
      </c>
      <c r="N1885" s="2" t="s">
        <v>500</v>
      </c>
      <c r="O1885" s="5"/>
      <c r="P1885" s="4"/>
      <c r="Q1885" s="4"/>
      <c r="R1885" s="4"/>
      <c r="S1885" s="4"/>
      <c r="T1885" s="4"/>
      <c r="U1885" s="4"/>
      <c r="V1885" s="4"/>
      <c r="W1885" s="4"/>
      <c r="X1885" s="4"/>
      <c r="Y1885" s="4"/>
      <c r="Z1885" s="4"/>
      <c r="AA1885" s="4"/>
      <c r="AB1885" s="4"/>
      <c r="AC1885" s="4"/>
      <c r="AD1885" s="4"/>
      <c r="AE1885" s="4"/>
      <c r="AF1885" s="4"/>
      <c r="AG1885" s="4"/>
      <c r="AH1885" s="4"/>
      <c r="AI1885" s="4"/>
      <c r="AJ1885" s="4"/>
      <c r="AK1885" s="4"/>
      <c r="AL1885" s="4"/>
      <c r="AM1885" s="4"/>
      <c r="AN1885" s="4"/>
      <c r="AO1885" s="4"/>
      <c r="AP1885" s="4"/>
      <c r="AQ1885" s="4"/>
      <c r="AR1885" s="4"/>
      <c r="AS1885" s="4"/>
      <c r="AT1885" s="4"/>
      <c r="AU1885" s="4"/>
      <c r="AV1885" s="4"/>
      <c r="AW1885" s="4"/>
      <c r="AX1885" s="4"/>
      <c r="AY1885" s="4"/>
      <c r="AZ1885" s="4"/>
      <c r="BA1885" s="4"/>
      <c r="BB1885" s="4"/>
      <c r="BC1885" s="4"/>
      <c r="BD1885" s="4"/>
      <c r="BE1885" s="4"/>
      <c r="BF1885" s="4"/>
      <c r="BG1885" s="4"/>
      <c r="BH1885" s="4"/>
      <c r="BI1885" s="4"/>
      <c r="BJ1885" s="4"/>
      <c r="BK1885" s="4"/>
      <c r="BL1885" s="4"/>
      <c r="BM1885" s="4"/>
      <c r="BN1885" s="4"/>
      <c r="BO1885" s="4"/>
      <c r="BP1885" s="4"/>
      <c r="BQ1885" s="4"/>
      <c r="BR1885" s="4"/>
      <c r="BS1885" s="4"/>
      <c r="BT1885" s="4"/>
      <c r="BU1885" s="4"/>
      <c r="BV1885" s="4"/>
      <c r="BW1885" s="4"/>
      <c r="BX1885" s="4"/>
      <c r="BY1885" s="4"/>
      <c r="BZ1885" s="4"/>
      <c r="CA1885" s="4"/>
      <c r="CB1885" s="4"/>
      <c r="CC1885" s="4"/>
      <c r="CD1885" s="4"/>
      <c r="CE1885" s="4"/>
      <c r="CF1885" s="4"/>
      <c r="CG1885" s="4"/>
      <c r="CH1885" s="4"/>
      <c r="CI1885" s="4"/>
      <c r="CJ1885" s="4"/>
      <c r="CK1885" s="4"/>
      <c r="CL1885" s="4"/>
      <c r="CM1885" s="4"/>
      <c r="CN1885" s="4"/>
      <c r="CO1885" s="4"/>
      <c r="CP1885" s="4"/>
      <c r="CQ1885" s="4"/>
      <c r="CR1885" s="4"/>
      <c r="CS1885" s="4"/>
      <c r="CT1885" s="4"/>
    </row>
    <row r="1886" spans="1:98" x14ac:dyDescent="0.25">
      <c r="A1886" s="2" t="s">
        <v>15</v>
      </c>
      <c r="B1886" s="2" t="str">
        <f>"FES1162769579"</f>
        <v>FES1162769579</v>
      </c>
      <c r="C1886" s="2" t="s">
        <v>1266</v>
      </c>
      <c r="D1886" s="2">
        <v>1</v>
      </c>
      <c r="E1886" s="2" t="str">
        <f>"2170756616"</f>
        <v>2170756616</v>
      </c>
      <c r="F1886" s="2" t="s">
        <v>17</v>
      </c>
      <c r="G1886" s="2" t="s">
        <v>18</v>
      </c>
      <c r="H1886" s="2" t="s">
        <v>18</v>
      </c>
      <c r="I1886" s="2" t="s">
        <v>63</v>
      </c>
      <c r="J1886" s="2" t="s">
        <v>1413</v>
      </c>
      <c r="K1886" s="2" t="s">
        <v>1353</v>
      </c>
      <c r="L1886" s="3">
        <v>0.42638888888888887</v>
      </c>
      <c r="M1886" s="2" t="s">
        <v>1498</v>
      </c>
      <c r="N1886" s="2" t="s">
        <v>500</v>
      </c>
      <c r="O1886" s="5"/>
      <c r="P1886" s="4"/>
      <c r="Q1886" s="4"/>
      <c r="R1886" s="4"/>
      <c r="S1886" s="4"/>
      <c r="T1886" s="4"/>
      <c r="U1886" s="4"/>
      <c r="V1886" s="4"/>
      <c r="W1886" s="4"/>
      <c r="X1886" s="4"/>
      <c r="Y1886" s="4"/>
      <c r="Z1886" s="4"/>
      <c r="AA1886" s="4"/>
      <c r="AB1886" s="4"/>
      <c r="AC1886" s="4"/>
      <c r="AD1886" s="4"/>
      <c r="AE1886" s="4"/>
      <c r="AF1886" s="4"/>
      <c r="AG1886" s="4"/>
      <c r="AH1886" s="4"/>
      <c r="AI1886" s="4"/>
      <c r="AJ1886" s="4"/>
      <c r="AK1886" s="4"/>
      <c r="AL1886" s="4"/>
      <c r="AM1886" s="4"/>
      <c r="AN1886" s="4"/>
      <c r="AO1886" s="4"/>
      <c r="AP1886" s="4"/>
      <c r="AQ1886" s="4"/>
      <c r="AR1886" s="4"/>
      <c r="AS1886" s="4"/>
      <c r="AT1886" s="4"/>
      <c r="AU1886" s="4"/>
      <c r="AV1886" s="4"/>
      <c r="AW1886" s="4"/>
      <c r="AX1886" s="4"/>
      <c r="AY1886" s="4"/>
      <c r="AZ1886" s="4"/>
      <c r="BA1886" s="4"/>
      <c r="BB1886" s="4"/>
      <c r="BC1886" s="4"/>
      <c r="BD1886" s="4"/>
      <c r="BE1886" s="4"/>
      <c r="BF1886" s="4"/>
      <c r="BG1886" s="4"/>
      <c r="BH1886" s="4"/>
      <c r="BI1886" s="4"/>
      <c r="BJ1886" s="4"/>
      <c r="BK1886" s="4"/>
      <c r="BL1886" s="4"/>
      <c r="BM1886" s="4"/>
      <c r="BN1886" s="4"/>
      <c r="BO1886" s="4"/>
      <c r="BP1886" s="4"/>
      <c r="BQ1886" s="4"/>
      <c r="BR1886" s="4"/>
      <c r="BS1886" s="4"/>
      <c r="BT1886" s="4"/>
      <c r="BU1886" s="4"/>
      <c r="BV1886" s="4"/>
      <c r="BW1886" s="4"/>
      <c r="BX1886" s="4"/>
      <c r="BY1886" s="4"/>
      <c r="BZ1886" s="4"/>
      <c r="CA1886" s="4"/>
      <c r="CB1886" s="4"/>
      <c r="CC1886" s="4"/>
      <c r="CD1886" s="4"/>
      <c r="CE1886" s="4"/>
      <c r="CF1886" s="4"/>
      <c r="CG1886" s="4"/>
      <c r="CH1886" s="4"/>
      <c r="CI1886" s="4"/>
      <c r="CJ1886" s="4"/>
      <c r="CK1886" s="4"/>
      <c r="CL1886" s="4"/>
      <c r="CM1886" s="4"/>
      <c r="CN1886" s="4"/>
      <c r="CO1886" s="4"/>
      <c r="CP1886" s="4"/>
      <c r="CQ1886" s="4"/>
      <c r="CR1886" s="4"/>
      <c r="CS1886" s="4"/>
      <c r="CT1886" s="4"/>
    </row>
    <row r="1887" spans="1:98" x14ac:dyDescent="0.25">
      <c r="A1887" s="2" t="s">
        <v>15</v>
      </c>
      <c r="B1887" s="2" t="str">
        <f>"FES1162769743"</f>
        <v>FES1162769743</v>
      </c>
      <c r="C1887" s="2" t="s">
        <v>1266</v>
      </c>
      <c r="D1887" s="2">
        <v>1</v>
      </c>
      <c r="E1887" s="2" t="str">
        <f>"2170756929"</f>
        <v>2170756929</v>
      </c>
      <c r="F1887" s="2" t="s">
        <v>17</v>
      </c>
      <c r="G1887" s="2" t="s">
        <v>18</v>
      </c>
      <c r="H1887" s="2" t="s">
        <v>33</v>
      </c>
      <c r="I1887" s="2" t="s">
        <v>34</v>
      </c>
      <c r="J1887" s="2" t="s">
        <v>400</v>
      </c>
      <c r="K1887" s="2" t="s">
        <v>1353</v>
      </c>
      <c r="L1887" s="3">
        <v>0.43333333333333335</v>
      </c>
      <c r="M1887" s="2" t="s">
        <v>1499</v>
      </c>
      <c r="N1887" s="2" t="s">
        <v>500</v>
      </c>
      <c r="O1887" s="5"/>
      <c r="P1887" s="4"/>
      <c r="Q1887" s="4"/>
      <c r="R1887" s="4"/>
      <c r="S1887" s="4"/>
      <c r="T1887" s="4"/>
      <c r="U1887" s="4"/>
      <c r="V1887" s="4"/>
      <c r="W1887" s="4"/>
      <c r="X1887" s="4"/>
      <c r="Y1887" s="4"/>
      <c r="Z1887" s="4"/>
      <c r="AA1887" s="4"/>
      <c r="AB1887" s="4"/>
      <c r="AC1887" s="4"/>
      <c r="AD1887" s="4"/>
      <c r="AE1887" s="4"/>
      <c r="AF1887" s="4"/>
      <c r="AG1887" s="4"/>
      <c r="AH1887" s="4"/>
      <c r="AI1887" s="4"/>
      <c r="AJ1887" s="4"/>
      <c r="AK1887" s="4"/>
      <c r="AL1887" s="4"/>
      <c r="AM1887" s="4"/>
      <c r="AN1887" s="4"/>
      <c r="AO1887" s="4"/>
      <c r="AP1887" s="4"/>
      <c r="AQ1887" s="4"/>
      <c r="AR1887" s="4"/>
      <c r="AS1887" s="4"/>
      <c r="AT1887" s="4"/>
      <c r="AU1887" s="4"/>
      <c r="AV1887" s="4"/>
      <c r="AW1887" s="4"/>
      <c r="AX1887" s="4"/>
      <c r="AY1887" s="4"/>
      <c r="AZ1887" s="4"/>
      <c r="BA1887" s="4"/>
      <c r="BB1887" s="4"/>
      <c r="BC1887" s="4"/>
      <c r="BD1887" s="4"/>
      <c r="BE1887" s="4"/>
      <c r="BF1887" s="4"/>
      <c r="BG1887" s="4"/>
      <c r="BH1887" s="4"/>
      <c r="BI1887" s="4"/>
      <c r="BJ1887" s="4"/>
      <c r="BK1887" s="4"/>
      <c r="BL1887" s="4"/>
      <c r="BM1887" s="4"/>
      <c r="BN1887" s="4"/>
      <c r="BO1887" s="4"/>
      <c r="BP1887" s="4"/>
      <c r="BQ1887" s="4"/>
      <c r="BR1887" s="4"/>
      <c r="BS1887" s="4"/>
      <c r="BT1887" s="4"/>
      <c r="BU1887" s="4"/>
      <c r="BV1887" s="4"/>
      <c r="BW1887" s="4"/>
      <c r="BX1887" s="4"/>
      <c r="BY1887" s="4"/>
      <c r="BZ1887" s="4"/>
      <c r="CA1887" s="4"/>
      <c r="CB1887" s="4"/>
      <c r="CC1887" s="4"/>
      <c r="CD1887" s="4"/>
      <c r="CE1887" s="4"/>
      <c r="CF1887" s="4"/>
      <c r="CG1887" s="4"/>
      <c r="CH1887" s="4"/>
      <c r="CI1887" s="4"/>
      <c r="CJ1887" s="4"/>
      <c r="CK1887" s="4"/>
      <c r="CL1887" s="4"/>
      <c r="CM1887" s="4"/>
      <c r="CN1887" s="4"/>
      <c r="CO1887" s="4"/>
      <c r="CP1887" s="4"/>
      <c r="CQ1887" s="4"/>
      <c r="CR1887" s="4"/>
      <c r="CS1887" s="4"/>
      <c r="CT1887" s="4"/>
    </row>
    <row r="1888" spans="1:98" x14ac:dyDescent="0.25">
      <c r="A1888" s="2" t="s">
        <v>15</v>
      </c>
      <c r="B1888" s="2" t="str">
        <f>"FES1162769738"</f>
        <v>FES1162769738</v>
      </c>
      <c r="C1888" s="2" t="s">
        <v>1266</v>
      </c>
      <c r="D1888" s="2">
        <v>1</v>
      </c>
      <c r="E1888" s="2" t="str">
        <f>"2170756917"</f>
        <v>2170756917</v>
      </c>
      <c r="F1888" s="2" t="s">
        <v>17</v>
      </c>
      <c r="G1888" s="2" t="s">
        <v>18</v>
      </c>
      <c r="H1888" s="2" t="s">
        <v>36</v>
      </c>
      <c r="I1888" s="2" t="s">
        <v>37</v>
      </c>
      <c r="J1888" s="2" t="s">
        <v>467</v>
      </c>
      <c r="K1888" s="2" t="s">
        <v>1353</v>
      </c>
      <c r="L1888" s="3">
        <v>0.34722222222222227</v>
      </c>
      <c r="M1888" s="2" t="s">
        <v>1500</v>
      </c>
      <c r="N1888" s="2" t="s">
        <v>500</v>
      </c>
      <c r="O1888" s="5"/>
      <c r="P1888" s="4"/>
      <c r="Q1888" s="4"/>
      <c r="R1888" s="4"/>
      <c r="S1888" s="4"/>
      <c r="T1888" s="4"/>
      <c r="U1888" s="4"/>
      <c r="V1888" s="4"/>
      <c r="W1888" s="4"/>
      <c r="X1888" s="4"/>
      <c r="Y1888" s="4"/>
      <c r="Z1888" s="4"/>
      <c r="AA1888" s="4"/>
      <c r="AB1888" s="4"/>
      <c r="AC1888" s="4"/>
      <c r="AD1888" s="4"/>
      <c r="AE1888" s="4"/>
      <c r="AF1888" s="4"/>
      <c r="AG1888" s="4"/>
      <c r="AH1888" s="4"/>
      <c r="AI1888" s="4"/>
      <c r="AJ1888" s="4"/>
      <c r="AK1888" s="4"/>
      <c r="AL1888" s="4"/>
      <c r="AM1888" s="4"/>
      <c r="AN1888" s="4"/>
      <c r="AO1888" s="4"/>
      <c r="AP1888" s="4"/>
      <c r="AQ1888" s="4"/>
      <c r="AR1888" s="4"/>
      <c r="AS1888" s="4"/>
      <c r="AT1888" s="4"/>
      <c r="AU1888" s="4"/>
      <c r="AV1888" s="4"/>
      <c r="AW1888" s="4"/>
      <c r="AX1888" s="4"/>
      <c r="AY1888" s="4"/>
      <c r="AZ1888" s="4"/>
      <c r="BA1888" s="4"/>
      <c r="BB1888" s="4"/>
      <c r="BC1888" s="4"/>
      <c r="BD1888" s="4"/>
      <c r="BE1888" s="4"/>
      <c r="BF1888" s="4"/>
      <c r="BG1888" s="4"/>
      <c r="BH1888" s="4"/>
      <c r="BI1888" s="4"/>
      <c r="BJ1888" s="4"/>
      <c r="BK1888" s="4"/>
      <c r="BL1888" s="4"/>
      <c r="BM1888" s="4"/>
      <c r="BN1888" s="4"/>
      <c r="BO1888" s="4"/>
      <c r="BP1888" s="4"/>
      <c r="BQ1888" s="4"/>
      <c r="BR1888" s="4"/>
      <c r="BS1888" s="4"/>
      <c r="BT1888" s="4"/>
      <c r="BU1888" s="4"/>
      <c r="BV1888" s="4"/>
      <c r="BW1888" s="4"/>
      <c r="BX1888" s="4"/>
      <c r="BY1888" s="4"/>
      <c r="BZ1888" s="4"/>
      <c r="CA1888" s="4"/>
      <c r="CB1888" s="4"/>
      <c r="CC1888" s="4"/>
      <c r="CD1888" s="4"/>
      <c r="CE1888" s="4"/>
      <c r="CF1888" s="4"/>
      <c r="CG1888" s="4"/>
      <c r="CH1888" s="4"/>
      <c r="CI1888" s="4"/>
      <c r="CJ1888" s="4"/>
      <c r="CK1888" s="4"/>
      <c r="CL1888" s="4"/>
      <c r="CM1888" s="4"/>
      <c r="CN1888" s="4"/>
      <c r="CO1888" s="4"/>
      <c r="CP1888" s="4"/>
      <c r="CQ1888" s="4"/>
      <c r="CR1888" s="4"/>
      <c r="CS1888" s="4"/>
      <c r="CT1888" s="4"/>
    </row>
    <row r="1889" spans="1:98" x14ac:dyDescent="0.25">
      <c r="A1889" s="2" t="s">
        <v>15</v>
      </c>
      <c r="B1889" s="2" t="str">
        <f>"FES1162769778"</f>
        <v>FES1162769778</v>
      </c>
      <c r="C1889" s="2" t="s">
        <v>1266</v>
      </c>
      <c r="D1889" s="2">
        <v>1</v>
      </c>
      <c r="E1889" s="2" t="str">
        <f>"2170757010"</f>
        <v>2170757010</v>
      </c>
      <c r="F1889" s="2" t="s">
        <v>17</v>
      </c>
      <c r="G1889" s="2" t="s">
        <v>18</v>
      </c>
      <c r="H1889" s="2" t="s">
        <v>18</v>
      </c>
      <c r="I1889" s="2" t="s">
        <v>46</v>
      </c>
      <c r="J1889" s="2" t="s">
        <v>1414</v>
      </c>
      <c r="K1889" s="2" t="s">
        <v>1353</v>
      </c>
      <c r="L1889" s="3">
        <v>0.34027777777777773</v>
      </c>
      <c r="M1889" s="2" t="s">
        <v>1414</v>
      </c>
      <c r="N1889" s="2" t="s">
        <v>500</v>
      </c>
      <c r="O1889" s="5"/>
      <c r="P1889" s="4"/>
      <c r="Q1889" s="4"/>
      <c r="R1889" s="4"/>
      <c r="S1889" s="4"/>
      <c r="T1889" s="4"/>
      <c r="U1889" s="4"/>
      <c r="V1889" s="4"/>
      <c r="W1889" s="4"/>
      <c r="X1889" s="4"/>
      <c r="Y1889" s="4"/>
      <c r="Z1889" s="4"/>
      <c r="AA1889" s="4"/>
      <c r="AB1889" s="4"/>
      <c r="AC1889" s="4"/>
      <c r="AD1889" s="4"/>
      <c r="AE1889" s="4"/>
      <c r="AF1889" s="4"/>
      <c r="AG1889" s="4"/>
      <c r="AH1889" s="4"/>
      <c r="AI1889" s="4"/>
      <c r="AJ1889" s="4"/>
      <c r="AK1889" s="4"/>
      <c r="AL1889" s="4"/>
      <c r="AM1889" s="4"/>
      <c r="AN1889" s="4"/>
      <c r="AO1889" s="4"/>
      <c r="AP1889" s="4"/>
      <c r="AQ1889" s="4"/>
      <c r="AR1889" s="4"/>
      <c r="AS1889" s="4"/>
      <c r="AT1889" s="4"/>
      <c r="AU1889" s="4"/>
      <c r="AV1889" s="4"/>
      <c r="AW1889" s="4"/>
      <c r="AX1889" s="4"/>
      <c r="AY1889" s="4"/>
      <c r="AZ1889" s="4"/>
      <c r="BA1889" s="4"/>
      <c r="BB1889" s="4"/>
      <c r="BC1889" s="4"/>
      <c r="BD1889" s="4"/>
      <c r="BE1889" s="4"/>
      <c r="BF1889" s="4"/>
      <c r="BG1889" s="4"/>
      <c r="BH1889" s="4"/>
      <c r="BI1889" s="4"/>
      <c r="BJ1889" s="4"/>
      <c r="BK1889" s="4"/>
      <c r="BL1889" s="4"/>
      <c r="BM1889" s="4"/>
      <c r="BN1889" s="4"/>
      <c r="BO1889" s="4"/>
      <c r="BP1889" s="4"/>
      <c r="BQ1889" s="4"/>
      <c r="BR1889" s="4"/>
      <c r="BS1889" s="4"/>
      <c r="BT1889" s="4"/>
      <c r="BU1889" s="4"/>
      <c r="BV1889" s="4"/>
      <c r="BW1889" s="4"/>
      <c r="BX1889" s="4"/>
      <c r="BY1889" s="4"/>
      <c r="BZ1889" s="4"/>
      <c r="CA1889" s="4"/>
      <c r="CB1889" s="4"/>
      <c r="CC1889" s="4"/>
      <c r="CD1889" s="4"/>
      <c r="CE1889" s="4"/>
      <c r="CF1889" s="4"/>
      <c r="CG1889" s="4"/>
      <c r="CH1889" s="4"/>
      <c r="CI1889" s="4"/>
      <c r="CJ1889" s="4"/>
      <c r="CK1889" s="4"/>
      <c r="CL1889" s="4"/>
      <c r="CM1889" s="4"/>
      <c r="CN1889" s="4"/>
      <c r="CO1889" s="4"/>
      <c r="CP1889" s="4"/>
      <c r="CQ1889" s="4"/>
      <c r="CR1889" s="4"/>
      <c r="CS1889" s="4"/>
      <c r="CT1889" s="4"/>
    </row>
    <row r="1890" spans="1:98" x14ac:dyDescent="0.25">
      <c r="A1890" s="2" t="s">
        <v>15</v>
      </c>
      <c r="B1890" s="2" t="str">
        <f>"FES1162769599"</f>
        <v>FES1162769599</v>
      </c>
      <c r="C1890" s="2" t="s">
        <v>1266</v>
      </c>
      <c r="D1890" s="2">
        <v>1</v>
      </c>
      <c r="E1890" s="2" t="str">
        <f>"2170756656"</f>
        <v>2170756656</v>
      </c>
      <c r="F1890" s="2" t="s">
        <v>17</v>
      </c>
      <c r="G1890" s="2" t="s">
        <v>18</v>
      </c>
      <c r="H1890" s="2" t="s">
        <v>25</v>
      </c>
      <c r="I1890" s="2" t="s">
        <v>361</v>
      </c>
      <c r="J1890" s="2" t="s">
        <v>1400</v>
      </c>
      <c r="K1890" s="2" t="s">
        <v>1353</v>
      </c>
      <c r="L1890" s="3">
        <v>0.41666666666666669</v>
      </c>
      <c r="M1890" s="2" t="s">
        <v>1466</v>
      </c>
      <c r="N1890" s="2" t="s">
        <v>500</v>
      </c>
      <c r="O1890" s="5"/>
      <c r="P1890" s="4"/>
      <c r="Q1890" s="4"/>
      <c r="R1890" s="4"/>
      <c r="S1890" s="4"/>
      <c r="T1890" s="4"/>
      <c r="U1890" s="4"/>
      <c r="V1890" s="4"/>
      <c r="W1890" s="4"/>
      <c r="X1890" s="4"/>
      <c r="Y1890" s="4"/>
      <c r="Z1890" s="4"/>
      <c r="AA1890" s="4"/>
      <c r="AB1890" s="4"/>
      <c r="AC1890" s="4"/>
      <c r="AD1890" s="4"/>
      <c r="AE1890" s="4"/>
      <c r="AF1890" s="4"/>
      <c r="AG1890" s="4"/>
      <c r="AH1890" s="4"/>
      <c r="AI1890" s="4"/>
      <c r="AJ1890" s="4"/>
      <c r="AK1890" s="4"/>
      <c r="AL1890" s="4"/>
      <c r="AM1890" s="4"/>
      <c r="AN1890" s="4"/>
      <c r="AO1890" s="4"/>
      <c r="AP1890" s="4"/>
      <c r="AQ1890" s="4"/>
      <c r="AR1890" s="4"/>
      <c r="AS1890" s="4"/>
      <c r="AT1890" s="4"/>
      <c r="AU1890" s="4"/>
      <c r="AV1890" s="4"/>
      <c r="AW1890" s="4"/>
      <c r="AX1890" s="4"/>
      <c r="AY1890" s="4"/>
      <c r="AZ1890" s="4"/>
      <c r="BA1890" s="4"/>
      <c r="BB1890" s="4"/>
      <c r="BC1890" s="4"/>
      <c r="BD1890" s="4"/>
      <c r="BE1890" s="4"/>
      <c r="BF1890" s="4"/>
      <c r="BG1890" s="4"/>
      <c r="BH1890" s="4"/>
      <c r="BI1890" s="4"/>
      <c r="BJ1890" s="4"/>
      <c r="BK1890" s="4"/>
      <c r="BL1890" s="4"/>
      <c r="BM1890" s="4"/>
      <c r="BN1890" s="4"/>
      <c r="BO1890" s="4"/>
      <c r="BP1890" s="4"/>
      <c r="BQ1890" s="4"/>
      <c r="BR1890" s="4"/>
      <c r="BS1890" s="4"/>
      <c r="BT1890" s="4"/>
      <c r="BU1890" s="4"/>
      <c r="BV1890" s="4"/>
      <c r="BW1890" s="4"/>
      <c r="BX1890" s="4"/>
      <c r="BY1890" s="4"/>
      <c r="BZ1890" s="4"/>
      <c r="CA1890" s="4"/>
      <c r="CB1890" s="4"/>
      <c r="CC1890" s="4"/>
      <c r="CD1890" s="4"/>
      <c r="CE1890" s="4"/>
      <c r="CF1890" s="4"/>
      <c r="CG1890" s="4"/>
      <c r="CH1890" s="4"/>
      <c r="CI1890" s="4"/>
      <c r="CJ1890" s="4"/>
      <c r="CK1890" s="4"/>
      <c r="CL1890" s="4"/>
      <c r="CM1890" s="4"/>
      <c r="CN1890" s="4"/>
      <c r="CO1890" s="4"/>
      <c r="CP1890" s="4"/>
      <c r="CQ1890" s="4"/>
      <c r="CR1890" s="4"/>
      <c r="CS1890" s="4"/>
      <c r="CT1890" s="4"/>
    </row>
    <row r="1891" spans="1:98" x14ac:dyDescent="0.25">
      <c r="A1891" s="2" t="s">
        <v>15</v>
      </c>
      <c r="B1891" s="2" t="str">
        <f>"FES1162769795"</f>
        <v>FES1162769795</v>
      </c>
      <c r="C1891" s="2" t="s">
        <v>1266</v>
      </c>
      <c r="D1891" s="2">
        <v>1</v>
      </c>
      <c r="E1891" s="2" t="str">
        <f>"2170757036"</f>
        <v>2170757036</v>
      </c>
      <c r="F1891" s="2" t="s">
        <v>17</v>
      </c>
      <c r="G1891" s="2" t="s">
        <v>18</v>
      </c>
      <c r="H1891" s="2" t="s">
        <v>18</v>
      </c>
      <c r="I1891" s="2" t="s">
        <v>57</v>
      </c>
      <c r="J1891" s="2" t="s">
        <v>910</v>
      </c>
      <c r="K1891" s="2" t="s">
        <v>1353</v>
      </c>
      <c r="L1891" s="3">
        <v>0.34097222222222223</v>
      </c>
      <c r="M1891" s="2" t="s">
        <v>1501</v>
      </c>
      <c r="N1891" s="2" t="s">
        <v>500</v>
      </c>
      <c r="O1891" s="5"/>
      <c r="P1891" s="4"/>
      <c r="Q1891" s="4"/>
      <c r="R1891" s="4"/>
      <c r="S1891" s="4"/>
      <c r="T1891" s="4"/>
      <c r="U1891" s="4"/>
      <c r="V1891" s="4"/>
      <c r="W1891" s="4"/>
      <c r="X1891" s="4"/>
      <c r="Y1891" s="4"/>
      <c r="Z1891" s="4"/>
      <c r="AA1891" s="4"/>
      <c r="AB1891" s="4"/>
      <c r="AC1891" s="4"/>
      <c r="AD1891" s="4"/>
      <c r="AE1891" s="4"/>
      <c r="AF1891" s="4"/>
      <c r="AG1891" s="4"/>
      <c r="AH1891" s="4"/>
      <c r="AI1891" s="4"/>
      <c r="AJ1891" s="4"/>
      <c r="AK1891" s="4"/>
      <c r="AL1891" s="4"/>
      <c r="AM1891" s="4"/>
      <c r="AN1891" s="4"/>
      <c r="AO1891" s="4"/>
      <c r="AP1891" s="4"/>
      <c r="AQ1891" s="4"/>
      <c r="AR1891" s="4"/>
      <c r="AS1891" s="4"/>
      <c r="AT1891" s="4"/>
      <c r="AU1891" s="4"/>
      <c r="AV1891" s="4"/>
      <c r="AW1891" s="4"/>
      <c r="AX1891" s="4"/>
      <c r="AY1891" s="4"/>
      <c r="AZ1891" s="4"/>
      <c r="BA1891" s="4"/>
      <c r="BB1891" s="4"/>
      <c r="BC1891" s="4"/>
      <c r="BD1891" s="4"/>
      <c r="BE1891" s="4"/>
      <c r="BF1891" s="4"/>
      <c r="BG1891" s="4"/>
      <c r="BH1891" s="4"/>
      <c r="BI1891" s="4"/>
      <c r="BJ1891" s="4"/>
      <c r="BK1891" s="4"/>
      <c r="BL1891" s="4"/>
      <c r="BM1891" s="4"/>
      <c r="BN1891" s="4"/>
      <c r="BO1891" s="4"/>
      <c r="BP1891" s="4"/>
      <c r="BQ1891" s="4"/>
      <c r="BR1891" s="4"/>
      <c r="BS1891" s="4"/>
      <c r="BT1891" s="4"/>
      <c r="BU1891" s="4"/>
      <c r="BV1891" s="4"/>
      <c r="BW1891" s="4"/>
      <c r="BX1891" s="4"/>
      <c r="BY1891" s="4"/>
      <c r="BZ1891" s="4"/>
      <c r="CA1891" s="4"/>
      <c r="CB1891" s="4"/>
      <c r="CC1891" s="4"/>
      <c r="CD1891" s="4"/>
      <c r="CE1891" s="4"/>
      <c r="CF1891" s="4"/>
      <c r="CG1891" s="4"/>
      <c r="CH1891" s="4"/>
      <c r="CI1891" s="4"/>
      <c r="CJ1891" s="4"/>
      <c r="CK1891" s="4"/>
      <c r="CL1891" s="4"/>
      <c r="CM1891" s="4"/>
      <c r="CN1891" s="4"/>
      <c r="CO1891" s="4"/>
      <c r="CP1891" s="4"/>
      <c r="CQ1891" s="4"/>
      <c r="CR1891" s="4"/>
      <c r="CS1891" s="4"/>
      <c r="CT1891" s="4"/>
    </row>
    <row r="1892" spans="1:98" x14ac:dyDescent="0.25">
      <c r="A1892" s="2" t="s">
        <v>15</v>
      </c>
      <c r="B1892" s="2" t="str">
        <f>"FES1162770015"</f>
        <v>FES1162770015</v>
      </c>
      <c r="C1892" s="2" t="s">
        <v>1266</v>
      </c>
      <c r="D1892" s="2">
        <v>1</v>
      </c>
      <c r="E1892" s="2" t="str">
        <f>"2170757221"</f>
        <v>2170757221</v>
      </c>
      <c r="F1892" s="2" t="s">
        <v>17</v>
      </c>
      <c r="G1892" s="2" t="s">
        <v>18</v>
      </c>
      <c r="H1892" s="2" t="s">
        <v>19</v>
      </c>
      <c r="I1892" s="2" t="s">
        <v>111</v>
      </c>
      <c r="J1892" s="2" t="s">
        <v>1227</v>
      </c>
      <c r="K1892" s="2" t="s">
        <v>1353</v>
      </c>
      <c r="L1892" s="3">
        <v>0.7006944444444444</v>
      </c>
      <c r="M1892" s="2" t="s">
        <v>1502</v>
      </c>
      <c r="N1892" s="2" t="s">
        <v>500</v>
      </c>
      <c r="O1892" s="5"/>
      <c r="P1892" s="4"/>
      <c r="Q1892" s="4"/>
      <c r="R1892" s="4"/>
      <c r="S1892" s="4"/>
      <c r="T1892" s="4"/>
      <c r="U1892" s="4"/>
      <c r="V1892" s="4"/>
      <c r="W1892" s="4"/>
      <c r="X1892" s="4"/>
      <c r="Y1892" s="4"/>
      <c r="Z1892" s="4"/>
      <c r="AA1892" s="4"/>
      <c r="AB1892" s="4"/>
      <c r="AC1892" s="4"/>
      <c r="AD1892" s="4"/>
      <c r="AE1892" s="4"/>
      <c r="AF1892" s="4"/>
      <c r="AG1892" s="4"/>
      <c r="AH1892" s="4"/>
      <c r="AI1892" s="4"/>
      <c r="AJ1892" s="4"/>
      <c r="AK1892" s="4"/>
      <c r="AL1892" s="4"/>
      <c r="AM1892" s="4"/>
      <c r="AN1892" s="4"/>
      <c r="AO1892" s="4"/>
      <c r="AP1892" s="4"/>
      <c r="AQ1892" s="4"/>
      <c r="AR1892" s="4"/>
      <c r="AS1892" s="4"/>
      <c r="AT1892" s="4"/>
      <c r="AU1892" s="4"/>
      <c r="AV1892" s="4"/>
      <c r="AW1892" s="4"/>
      <c r="AX1892" s="4"/>
      <c r="AY1892" s="4"/>
      <c r="AZ1892" s="4"/>
      <c r="BA1892" s="4"/>
      <c r="BB1892" s="4"/>
      <c r="BC1892" s="4"/>
      <c r="BD1892" s="4"/>
      <c r="BE1892" s="4"/>
      <c r="BF1892" s="4"/>
      <c r="BG1892" s="4"/>
      <c r="BH1892" s="4"/>
      <c r="BI1892" s="4"/>
      <c r="BJ1892" s="4"/>
      <c r="BK1892" s="4"/>
      <c r="BL1892" s="4"/>
      <c r="BM1892" s="4"/>
      <c r="BN1892" s="4"/>
      <c r="BO1892" s="4"/>
      <c r="BP1892" s="4"/>
      <c r="BQ1892" s="4"/>
      <c r="BR1892" s="4"/>
      <c r="BS1892" s="4"/>
      <c r="BT1892" s="4"/>
      <c r="BU1892" s="4"/>
      <c r="BV1892" s="4"/>
      <c r="BW1892" s="4"/>
      <c r="BX1892" s="4"/>
      <c r="BY1892" s="4"/>
      <c r="BZ1892" s="4"/>
      <c r="CA1892" s="4"/>
      <c r="CB1892" s="4"/>
      <c r="CC1892" s="4"/>
      <c r="CD1892" s="4"/>
      <c r="CE1892" s="4"/>
      <c r="CF1892" s="4"/>
      <c r="CG1892" s="4"/>
      <c r="CH1892" s="4"/>
      <c r="CI1892" s="4"/>
      <c r="CJ1892" s="4"/>
      <c r="CK1892" s="4"/>
      <c r="CL1892" s="4"/>
      <c r="CM1892" s="4"/>
      <c r="CN1892" s="4"/>
      <c r="CO1892" s="4"/>
      <c r="CP1892" s="4"/>
      <c r="CQ1892" s="4"/>
      <c r="CR1892" s="4"/>
      <c r="CS1892" s="4"/>
      <c r="CT1892" s="4"/>
    </row>
    <row r="1893" spans="1:98" x14ac:dyDescent="0.25">
      <c r="A1893" s="2" t="s">
        <v>15</v>
      </c>
      <c r="B1893" s="2" t="str">
        <f>"FES1162770011"</f>
        <v>FES1162770011</v>
      </c>
      <c r="C1893" s="2" t="s">
        <v>1266</v>
      </c>
      <c r="D1893" s="2">
        <v>1</v>
      </c>
      <c r="E1893" s="2" t="str">
        <f>"2170757233"</f>
        <v>2170757233</v>
      </c>
      <c r="F1893" s="2" t="s">
        <v>17</v>
      </c>
      <c r="G1893" s="2" t="s">
        <v>18</v>
      </c>
      <c r="H1893" s="2" t="s">
        <v>19</v>
      </c>
      <c r="I1893" s="2" t="s">
        <v>111</v>
      </c>
      <c r="J1893" s="2" t="s">
        <v>143</v>
      </c>
      <c r="K1893" s="2" t="s">
        <v>1353</v>
      </c>
      <c r="L1893" s="3">
        <v>0.3263888888888889</v>
      </c>
      <c r="M1893" s="2" t="s">
        <v>144</v>
      </c>
      <c r="N1893" s="2" t="s">
        <v>500</v>
      </c>
      <c r="O1893" s="5"/>
      <c r="P1893" s="4"/>
      <c r="Q1893" s="4"/>
      <c r="R1893" s="4"/>
      <c r="S1893" s="4"/>
      <c r="T1893" s="4"/>
      <c r="U1893" s="4"/>
      <c r="V1893" s="4"/>
      <c r="W1893" s="4"/>
      <c r="X1893" s="4"/>
      <c r="Y1893" s="4"/>
      <c r="Z1893" s="4"/>
      <c r="AA1893" s="4"/>
      <c r="AB1893" s="4"/>
      <c r="AC1893" s="4"/>
      <c r="AD1893" s="4"/>
      <c r="AE1893" s="4"/>
      <c r="AF1893" s="4"/>
      <c r="AG1893" s="4"/>
      <c r="AH1893" s="4"/>
      <c r="AI1893" s="4"/>
      <c r="AJ1893" s="4"/>
      <c r="AK1893" s="4"/>
      <c r="AL1893" s="4"/>
      <c r="AM1893" s="4"/>
      <c r="AN1893" s="4"/>
      <c r="AO1893" s="4"/>
      <c r="AP1893" s="4"/>
      <c r="AQ1893" s="4"/>
      <c r="AR1893" s="4"/>
      <c r="AS1893" s="4"/>
      <c r="AT1893" s="4"/>
      <c r="AU1893" s="4"/>
      <c r="AV1893" s="4"/>
      <c r="AW1893" s="4"/>
      <c r="AX1893" s="4"/>
      <c r="AY1893" s="4"/>
      <c r="AZ1893" s="4"/>
      <c r="BA1893" s="4"/>
      <c r="BB1893" s="4"/>
      <c r="BC1893" s="4"/>
      <c r="BD1893" s="4"/>
      <c r="BE1893" s="4"/>
      <c r="BF1893" s="4"/>
      <c r="BG1893" s="4"/>
      <c r="BH1893" s="4"/>
      <c r="BI1893" s="4"/>
      <c r="BJ1893" s="4"/>
      <c r="BK1893" s="4"/>
      <c r="BL1893" s="4"/>
      <c r="BM1893" s="4"/>
      <c r="BN1893" s="4"/>
      <c r="BO1893" s="4"/>
      <c r="BP1893" s="4"/>
      <c r="BQ1893" s="4"/>
      <c r="BR1893" s="4"/>
      <c r="BS1893" s="4"/>
      <c r="BT1893" s="4"/>
      <c r="BU1893" s="4"/>
      <c r="BV1893" s="4"/>
      <c r="BW1893" s="4"/>
      <c r="BX1893" s="4"/>
      <c r="BY1893" s="4"/>
      <c r="BZ1893" s="4"/>
      <c r="CA1893" s="4"/>
      <c r="CB1893" s="4"/>
      <c r="CC1893" s="4"/>
      <c r="CD1893" s="4"/>
      <c r="CE1893" s="4"/>
      <c r="CF1893" s="4"/>
      <c r="CG1893" s="4"/>
      <c r="CH1893" s="4"/>
      <c r="CI1893" s="4"/>
      <c r="CJ1893" s="4"/>
      <c r="CK1893" s="4"/>
      <c r="CL1893" s="4"/>
      <c r="CM1893" s="4"/>
      <c r="CN1893" s="4"/>
      <c r="CO1893" s="4"/>
      <c r="CP1893" s="4"/>
      <c r="CQ1893" s="4"/>
      <c r="CR1893" s="4"/>
      <c r="CS1893" s="4"/>
      <c r="CT1893" s="4"/>
    </row>
    <row r="1894" spans="1:98" x14ac:dyDescent="0.25">
      <c r="A1894" s="2" t="s">
        <v>15</v>
      </c>
      <c r="B1894" s="2" t="str">
        <f>"FES1162770033"</f>
        <v>FES1162770033</v>
      </c>
      <c r="C1894" s="2" t="s">
        <v>1266</v>
      </c>
      <c r="D1894" s="2">
        <v>1</v>
      </c>
      <c r="E1894" s="2" t="str">
        <f>"2170757263"</f>
        <v>2170757263</v>
      </c>
      <c r="F1894" s="2" t="s">
        <v>17</v>
      </c>
      <c r="G1894" s="2" t="s">
        <v>18</v>
      </c>
      <c r="H1894" s="2" t="s">
        <v>19</v>
      </c>
      <c r="I1894" s="2" t="s">
        <v>111</v>
      </c>
      <c r="J1894" s="2" t="s">
        <v>662</v>
      </c>
      <c r="K1894" s="2" t="s">
        <v>1353</v>
      </c>
      <c r="L1894" s="3">
        <v>0.43402777777777773</v>
      </c>
      <c r="M1894" s="2" t="s">
        <v>1503</v>
      </c>
      <c r="N1894" s="2" t="s">
        <v>500</v>
      </c>
      <c r="O1894" s="5"/>
      <c r="P1894" s="4"/>
      <c r="Q1894" s="4"/>
      <c r="R1894" s="4"/>
      <c r="S1894" s="4"/>
      <c r="T1894" s="4"/>
      <c r="U1894" s="4"/>
      <c r="V1894" s="4"/>
      <c r="W1894" s="4"/>
      <c r="X1894" s="4"/>
      <c r="Y1894" s="4"/>
      <c r="Z1894" s="4"/>
      <c r="AA1894" s="4"/>
      <c r="AB1894" s="4"/>
      <c r="AC1894" s="4"/>
      <c r="AD1894" s="4"/>
      <c r="AE1894" s="4"/>
      <c r="AF1894" s="4"/>
      <c r="AG1894" s="4"/>
      <c r="AH1894" s="4"/>
      <c r="AI1894" s="4"/>
      <c r="AJ1894" s="4"/>
      <c r="AK1894" s="4"/>
      <c r="AL1894" s="4"/>
      <c r="AM1894" s="4"/>
      <c r="AN1894" s="4"/>
      <c r="AO1894" s="4"/>
      <c r="AP1894" s="4"/>
      <c r="AQ1894" s="4"/>
      <c r="AR1894" s="4"/>
      <c r="AS1894" s="4"/>
      <c r="AT1894" s="4"/>
      <c r="AU1894" s="4"/>
      <c r="AV1894" s="4"/>
      <c r="AW1894" s="4"/>
      <c r="AX1894" s="4"/>
      <c r="AY1894" s="4"/>
      <c r="AZ1894" s="4"/>
      <c r="BA1894" s="4"/>
      <c r="BB1894" s="4"/>
      <c r="BC1894" s="4"/>
      <c r="BD1894" s="4"/>
      <c r="BE1894" s="4"/>
      <c r="BF1894" s="4"/>
      <c r="BG1894" s="4"/>
      <c r="BH1894" s="4"/>
      <c r="BI1894" s="4"/>
      <c r="BJ1894" s="4"/>
      <c r="BK1894" s="4"/>
      <c r="BL1894" s="4"/>
      <c r="BM1894" s="4"/>
      <c r="BN1894" s="4"/>
      <c r="BO1894" s="4"/>
      <c r="BP1894" s="4"/>
      <c r="BQ1894" s="4"/>
      <c r="BR1894" s="4"/>
      <c r="BS1894" s="4"/>
      <c r="BT1894" s="4"/>
      <c r="BU1894" s="4"/>
      <c r="BV1894" s="4"/>
      <c r="BW1894" s="4"/>
      <c r="BX1894" s="4"/>
      <c r="BY1894" s="4"/>
      <c r="BZ1894" s="4"/>
      <c r="CA1894" s="4"/>
      <c r="CB1894" s="4"/>
      <c r="CC1894" s="4"/>
      <c r="CD1894" s="4"/>
      <c r="CE1894" s="4"/>
      <c r="CF1894" s="4"/>
      <c r="CG1894" s="4"/>
      <c r="CH1894" s="4"/>
      <c r="CI1894" s="4"/>
      <c r="CJ1894" s="4"/>
      <c r="CK1894" s="4"/>
      <c r="CL1894" s="4"/>
      <c r="CM1894" s="4"/>
      <c r="CN1894" s="4"/>
      <c r="CO1894" s="4"/>
      <c r="CP1894" s="4"/>
      <c r="CQ1894" s="4"/>
      <c r="CR1894" s="4"/>
      <c r="CS1894" s="4"/>
      <c r="CT1894" s="4"/>
    </row>
    <row r="1895" spans="1:98" x14ac:dyDescent="0.25">
      <c r="A1895" s="2" t="s">
        <v>15</v>
      </c>
      <c r="B1895" s="2" t="str">
        <f>"FES1162769942"</f>
        <v>FES1162769942</v>
      </c>
      <c r="C1895" s="2" t="s">
        <v>1266</v>
      </c>
      <c r="D1895" s="2">
        <v>1</v>
      </c>
      <c r="E1895" s="2" t="str">
        <f>"2170755397"</f>
        <v>2170755397</v>
      </c>
      <c r="F1895" s="2" t="s">
        <v>17</v>
      </c>
      <c r="G1895" s="2" t="s">
        <v>18</v>
      </c>
      <c r="H1895" s="2" t="s">
        <v>33</v>
      </c>
      <c r="I1895" s="2" t="s">
        <v>34</v>
      </c>
      <c r="J1895" s="2" t="s">
        <v>69</v>
      </c>
      <c r="K1895" s="2" t="s">
        <v>1353</v>
      </c>
      <c r="L1895" s="3">
        <v>0.43333333333333335</v>
      </c>
      <c r="M1895" s="2" t="s">
        <v>1504</v>
      </c>
      <c r="N1895" s="2" t="s">
        <v>500</v>
      </c>
      <c r="O1895" s="5"/>
      <c r="P1895" s="4"/>
      <c r="Q1895" s="4"/>
      <c r="R1895" s="4"/>
      <c r="S1895" s="4"/>
      <c r="T1895" s="4"/>
      <c r="U1895" s="4"/>
      <c r="V1895" s="4"/>
      <c r="W1895" s="4"/>
      <c r="X1895" s="4"/>
      <c r="Y1895" s="4"/>
      <c r="Z1895" s="4"/>
      <c r="AA1895" s="4"/>
      <c r="AB1895" s="4"/>
      <c r="AC1895" s="4"/>
      <c r="AD1895" s="4"/>
      <c r="AE1895" s="4"/>
      <c r="AF1895" s="4"/>
      <c r="AG1895" s="4"/>
      <c r="AH1895" s="4"/>
      <c r="AI1895" s="4"/>
      <c r="AJ1895" s="4"/>
      <c r="AK1895" s="4"/>
      <c r="AL1895" s="4"/>
      <c r="AM1895" s="4"/>
      <c r="AN1895" s="4"/>
      <c r="AO1895" s="4"/>
      <c r="AP1895" s="4"/>
      <c r="AQ1895" s="4"/>
      <c r="AR1895" s="4"/>
      <c r="AS1895" s="4"/>
      <c r="AT1895" s="4"/>
      <c r="AU1895" s="4"/>
      <c r="AV1895" s="4"/>
      <c r="AW1895" s="4"/>
      <c r="AX1895" s="4"/>
      <c r="AY1895" s="4"/>
      <c r="AZ1895" s="4"/>
      <c r="BA1895" s="4"/>
      <c r="BB1895" s="4"/>
      <c r="BC1895" s="4"/>
      <c r="BD1895" s="4"/>
      <c r="BE1895" s="4"/>
      <c r="BF1895" s="4"/>
      <c r="BG1895" s="4"/>
      <c r="BH1895" s="4"/>
      <c r="BI1895" s="4"/>
      <c r="BJ1895" s="4"/>
      <c r="BK1895" s="4"/>
      <c r="BL1895" s="4"/>
      <c r="BM1895" s="4"/>
      <c r="BN1895" s="4"/>
      <c r="BO1895" s="4"/>
      <c r="BP1895" s="4"/>
      <c r="BQ1895" s="4"/>
      <c r="BR1895" s="4"/>
      <c r="BS1895" s="4"/>
      <c r="BT1895" s="4"/>
      <c r="BU1895" s="4"/>
      <c r="BV1895" s="4"/>
      <c r="BW1895" s="4"/>
      <c r="BX1895" s="4"/>
      <c r="BY1895" s="4"/>
      <c r="BZ1895" s="4"/>
      <c r="CA1895" s="4"/>
      <c r="CB1895" s="4"/>
      <c r="CC1895" s="4"/>
      <c r="CD1895" s="4"/>
      <c r="CE1895" s="4"/>
      <c r="CF1895" s="4"/>
      <c r="CG1895" s="4"/>
      <c r="CH1895" s="4"/>
      <c r="CI1895" s="4"/>
      <c r="CJ1895" s="4"/>
      <c r="CK1895" s="4"/>
      <c r="CL1895" s="4"/>
      <c r="CM1895" s="4"/>
      <c r="CN1895" s="4"/>
      <c r="CO1895" s="4"/>
      <c r="CP1895" s="4"/>
      <c r="CQ1895" s="4"/>
      <c r="CR1895" s="4"/>
      <c r="CS1895" s="4"/>
      <c r="CT1895" s="4"/>
    </row>
    <row r="1896" spans="1:98" x14ac:dyDescent="0.25">
      <c r="A1896" s="2" t="s">
        <v>15</v>
      </c>
      <c r="B1896" s="2" t="str">
        <f>"FES1162770077"</f>
        <v>FES1162770077</v>
      </c>
      <c r="C1896" s="2" t="s">
        <v>1266</v>
      </c>
      <c r="D1896" s="2">
        <v>1</v>
      </c>
      <c r="E1896" s="2" t="str">
        <f>"2170757318"</f>
        <v>2170757318</v>
      </c>
      <c r="F1896" s="2" t="s">
        <v>17</v>
      </c>
      <c r="G1896" s="2" t="s">
        <v>18</v>
      </c>
      <c r="H1896" s="2" t="s">
        <v>78</v>
      </c>
      <c r="I1896" s="2" t="s">
        <v>79</v>
      </c>
      <c r="J1896" s="2" t="s">
        <v>113</v>
      </c>
      <c r="K1896" s="2" t="s">
        <v>1353</v>
      </c>
      <c r="L1896" s="3">
        <v>0.40347222222222223</v>
      </c>
      <c r="M1896" s="2" t="s">
        <v>1505</v>
      </c>
      <c r="N1896" s="2" t="s">
        <v>500</v>
      </c>
      <c r="O1896" s="5"/>
      <c r="P1896" s="4"/>
      <c r="Q1896" s="4"/>
      <c r="R1896" s="4"/>
      <c r="S1896" s="4"/>
      <c r="T1896" s="4"/>
      <c r="U1896" s="4"/>
      <c r="V1896" s="4"/>
      <c r="W1896" s="4"/>
      <c r="X1896" s="4"/>
      <c r="Y1896" s="4"/>
      <c r="Z1896" s="4"/>
      <c r="AA1896" s="4"/>
      <c r="AB1896" s="4"/>
      <c r="AC1896" s="4"/>
      <c r="AD1896" s="4"/>
      <c r="AE1896" s="4"/>
      <c r="AF1896" s="4"/>
      <c r="AG1896" s="4"/>
      <c r="AH1896" s="4"/>
      <c r="AI1896" s="4"/>
      <c r="AJ1896" s="4"/>
      <c r="AK1896" s="4"/>
      <c r="AL1896" s="4"/>
      <c r="AM1896" s="4"/>
      <c r="AN1896" s="4"/>
      <c r="AO1896" s="4"/>
      <c r="AP1896" s="4"/>
      <c r="AQ1896" s="4"/>
      <c r="AR1896" s="4"/>
      <c r="AS1896" s="4"/>
      <c r="AT1896" s="4"/>
      <c r="AU1896" s="4"/>
      <c r="AV1896" s="4"/>
      <c r="AW1896" s="4"/>
      <c r="AX1896" s="4"/>
      <c r="AY1896" s="4"/>
      <c r="AZ1896" s="4"/>
      <c r="BA1896" s="4"/>
      <c r="BB1896" s="4"/>
      <c r="BC1896" s="4"/>
      <c r="BD1896" s="4"/>
      <c r="BE1896" s="4"/>
      <c r="BF1896" s="4"/>
      <c r="BG1896" s="4"/>
      <c r="BH1896" s="4"/>
      <c r="BI1896" s="4"/>
      <c r="BJ1896" s="4"/>
      <c r="BK1896" s="4"/>
      <c r="BL1896" s="4"/>
      <c r="BM1896" s="4"/>
      <c r="BN1896" s="4"/>
      <c r="BO1896" s="4"/>
      <c r="BP1896" s="4"/>
      <c r="BQ1896" s="4"/>
      <c r="BR1896" s="4"/>
      <c r="BS1896" s="4"/>
      <c r="BT1896" s="4"/>
      <c r="BU1896" s="4"/>
      <c r="BV1896" s="4"/>
      <c r="BW1896" s="4"/>
      <c r="BX1896" s="4"/>
      <c r="BY1896" s="4"/>
      <c r="BZ1896" s="4"/>
      <c r="CA1896" s="4"/>
      <c r="CB1896" s="4"/>
      <c r="CC1896" s="4"/>
      <c r="CD1896" s="4"/>
      <c r="CE1896" s="4"/>
      <c r="CF1896" s="4"/>
      <c r="CG1896" s="4"/>
      <c r="CH1896" s="4"/>
      <c r="CI1896" s="4"/>
      <c r="CJ1896" s="4"/>
      <c r="CK1896" s="4"/>
      <c r="CL1896" s="4"/>
      <c r="CM1896" s="4"/>
      <c r="CN1896" s="4"/>
      <c r="CO1896" s="4"/>
      <c r="CP1896" s="4"/>
      <c r="CQ1896" s="4"/>
      <c r="CR1896" s="4"/>
      <c r="CS1896" s="4"/>
      <c r="CT1896" s="4"/>
    </row>
    <row r="1897" spans="1:98" x14ac:dyDescent="0.25">
      <c r="A1897" s="2" t="s">
        <v>15</v>
      </c>
      <c r="B1897" s="2" t="str">
        <f>"FES1162770010"</f>
        <v>FES1162770010</v>
      </c>
      <c r="C1897" s="2" t="s">
        <v>1266</v>
      </c>
      <c r="D1897" s="2">
        <v>1</v>
      </c>
      <c r="E1897" s="2" t="str">
        <f>"2170757230"</f>
        <v>2170757230</v>
      </c>
      <c r="F1897" s="2" t="s">
        <v>17</v>
      </c>
      <c r="G1897" s="2" t="s">
        <v>18</v>
      </c>
      <c r="H1897" s="2" t="s">
        <v>19</v>
      </c>
      <c r="I1897" s="2" t="s">
        <v>111</v>
      </c>
      <c r="J1897" s="2" t="s">
        <v>143</v>
      </c>
      <c r="K1897" s="2" t="s">
        <v>1353</v>
      </c>
      <c r="L1897" s="3">
        <v>0.3263888888888889</v>
      </c>
      <c r="M1897" s="2" t="s">
        <v>144</v>
      </c>
      <c r="N1897" s="2" t="s">
        <v>500</v>
      </c>
      <c r="O1897" s="5"/>
      <c r="P1897" s="4"/>
      <c r="Q1897" s="4"/>
      <c r="R1897" s="4"/>
      <c r="S1897" s="4"/>
      <c r="T1897" s="4"/>
      <c r="U1897" s="4"/>
      <c r="V1897" s="4"/>
      <c r="W1897" s="4"/>
      <c r="X1897" s="4"/>
      <c r="Y1897" s="4"/>
      <c r="Z1897" s="4"/>
      <c r="AA1897" s="4"/>
      <c r="AB1897" s="4"/>
      <c r="AC1897" s="4"/>
      <c r="AD1897" s="4"/>
      <c r="AE1897" s="4"/>
      <c r="AF1897" s="4"/>
      <c r="AG1897" s="4"/>
      <c r="AH1897" s="4"/>
      <c r="AI1897" s="4"/>
      <c r="AJ1897" s="4"/>
      <c r="AK1897" s="4"/>
      <c r="AL1897" s="4"/>
      <c r="AM1897" s="4"/>
      <c r="AN1897" s="4"/>
      <c r="AO1897" s="4"/>
      <c r="AP1897" s="4"/>
      <c r="AQ1897" s="4"/>
      <c r="AR1897" s="4"/>
      <c r="AS1897" s="4"/>
      <c r="AT1897" s="4"/>
      <c r="AU1897" s="4"/>
      <c r="AV1897" s="4"/>
      <c r="AW1897" s="4"/>
      <c r="AX1897" s="4"/>
      <c r="AY1897" s="4"/>
      <c r="AZ1897" s="4"/>
      <c r="BA1897" s="4"/>
      <c r="BB1897" s="4"/>
      <c r="BC1897" s="4"/>
      <c r="BD1897" s="4"/>
      <c r="BE1897" s="4"/>
      <c r="BF1897" s="4"/>
      <c r="BG1897" s="4"/>
      <c r="BH1897" s="4"/>
      <c r="BI1897" s="4"/>
      <c r="BJ1897" s="4"/>
      <c r="BK1897" s="4"/>
      <c r="BL1897" s="4"/>
      <c r="BM1897" s="4"/>
      <c r="BN1897" s="4"/>
      <c r="BO1897" s="4"/>
      <c r="BP1897" s="4"/>
      <c r="BQ1897" s="4"/>
      <c r="BR1897" s="4"/>
      <c r="BS1897" s="4"/>
      <c r="BT1897" s="4"/>
      <c r="BU1897" s="4"/>
      <c r="BV1897" s="4"/>
      <c r="BW1897" s="4"/>
      <c r="BX1897" s="4"/>
      <c r="BY1897" s="4"/>
      <c r="BZ1897" s="4"/>
      <c r="CA1897" s="4"/>
      <c r="CB1897" s="4"/>
      <c r="CC1897" s="4"/>
      <c r="CD1897" s="4"/>
      <c r="CE1897" s="4"/>
      <c r="CF1897" s="4"/>
      <c r="CG1897" s="4"/>
      <c r="CH1897" s="4"/>
      <c r="CI1897" s="4"/>
      <c r="CJ1897" s="4"/>
      <c r="CK1897" s="4"/>
      <c r="CL1897" s="4"/>
      <c r="CM1897" s="4"/>
      <c r="CN1897" s="4"/>
      <c r="CO1897" s="4"/>
      <c r="CP1897" s="4"/>
      <c r="CQ1897" s="4"/>
      <c r="CR1897" s="4"/>
      <c r="CS1897" s="4"/>
      <c r="CT1897" s="4"/>
    </row>
    <row r="1898" spans="1:98" x14ac:dyDescent="0.25">
      <c r="A1898" s="2" t="s">
        <v>15</v>
      </c>
      <c r="B1898" s="2" t="str">
        <f>"FES1162769779"</f>
        <v>FES1162769779</v>
      </c>
      <c r="C1898" s="2" t="s">
        <v>1266</v>
      </c>
      <c r="D1898" s="2">
        <v>1</v>
      </c>
      <c r="E1898" s="2" t="str">
        <f>"2170757011"</f>
        <v>2170757011</v>
      </c>
      <c r="F1898" s="2" t="s">
        <v>17</v>
      </c>
      <c r="G1898" s="2" t="s">
        <v>18</v>
      </c>
      <c r="H1898" s="2" t="s">
        <v>36</v>
      </c>
      <c r="I1898" s="2" t="s">
        <v>37</v>
      </c>
      <c r="J1898" s="2" t="s">
        <v>162</v>
      </c>
      <c r="K1898" s="2" t="s">
        <v>1353</v>
      </c>
      <c r="L1898" s="3">
        <v>0.36527777777777781</v>
      </c>
      <c r="M1898" s="2" t="s">
        <v>268</v>
      </c>
      <c r="N1898" s="2" t="s">
        <v>500</v>
      </c>
      <c r="O1898" s="5"/>
      <c r="P1898" s="4"/>
      <c r="Q1898" s="4"/>
      <c r="R1898" s="4"/>
      <c r="S1898" s="4"/>
      <c r="T1898" s="4"/>
      <c r="U1898" s="4"/>
      <c r="V1898" s="4"/>
      <c r="W1898" s="4"/>
      <c r="X1898" s="4"/>
      <c r="Y1898" s="4"/>
      <c r="Z1898" s="4"/>
      <c r="AA1898" s="4"/>
      <c r="AB1898" s="4"/>
      <c r="AC1898" s="4"/>
      <c r="AD1898" s="4"/>
      <c r="AE1898" s="4"/>
      <c r="AF1898" s="4"/>
      <c r="AG1898" s="4"/>
      <c r="AH1898" s="4"/>
      <c r="AI1898" s="4"/>
      <c r="AJ1898" s="4"/>
      <c r="AK1898" s="4"/>
      <c r="AL1898" s="4"/>
      <c r="AM1898" s="4"/>
      <c r="AN1898" s="4"/>
      <c r="AO1898" s="4"/>
      <c r="AP1898" s="4"/>
      <c r="AQ1898" s="4"/>
      <c r="AR1898" s="4"/>
      <c r="AS1898" s="4"/>
      <c r="AT1898" s="4"/>
      <c r="AU1898" s="4"/>
      <c r="AV1898" s="4"/>
      <c r="AW1898" s="4"/>
      <c r="AX1898" s="4"/>
      <c r="AY1898" s="4"/>
      <c r="AZ1898" s="4"/>
      <c r="BA1898" s="4"/>
      <c r="BB1898" s="4"/>
      <c r="BC1898" s="4"/>
      <c r="BD1898" s="4"/>
      <c r="BE1898" s="4"/>
      <c r="BF1898" s="4"/>
      <c r="BG1898" s="4"/>
      <c r="BH1898" s="4"/>
      <c r="BI1898" s="4"/>
      <c r="BJ1898" s="4"/>
      <c r="BK1898" s="4"/>
      <c r="BL1898" s="4"/>
      <c r="BM1898" s="4"/>
      <c r="BN1898" s="4"/>
      <c r="BO1898" s="4"/>
      <c r="BP1898" s="4"/>
      <c r="BQ1898" s="4"/>
      <c r="BR1898" s="4"/>
      <c r="BS1898" s="4"/>
      <c r="BT1898" s="4"/>
      <c r="BU1898" s="4"/>
      <c r="BV1898" s="4"/>
      <c r="BW1898" s="4"/>
      <c r="BX1898" s="4"/>
      <c r="BY1898" s="4"/>
      <c r="BZ1898" s="4"/>
      <c r="CA1898" s="4"/>
      <c r="CB1898" s="4"/>
      <c r="CC1898" s="4"/>
      <c r="CD1898" s="4"/>
      <c r="CE1898" s="4"/>
      <c r="CF1898" s="4"/>
      <c r="CG1898" s="4"/>
      <c r="CH1898" s="4"/>
      <c r="CI1898" s="4"/>
      <c r="CJ1898" s="4"/>
      <c r="CK1898" s="4"/>
      <c r="CL1898" s="4"/>
      <c r="CM1898" s="4"/>
      <c r="CN1898" s="4"/>
      <c r="CO1898" s="4"/>
      <c r="CP1898" s="4"/>
      <c r="CQ1898" s="4"/>
      <c r="CR1898" s="4"/>
      <c r="CS1898" s="4"/>
      <c r="CT1898" s="4"/>
    </row>
    <row r="1899" spans="1:98" x14ac:dyDescent="0.25">
      <c r="A1899" s="2" t="s">
        <v>15</v>
      </c>
      <c r="B1899" s="2" t="str">
        <f>"FES1162769915"</f>
        <v>FES1162769915</v>
      </c>
      <c r="C1899" s="2" t="s">
        <v>1266</v>
      </c>
      <c r="D1899" s="2">
        <v>1</v>
      </c>
      <c r="E1899" s="2" t="str">
        <f>"2170751426"</f>
        <v>2170751426</v>
      </c>
      <c r="F1899" s="2" t="s">
        <v>17</v>
      </c>
      <c r="G1899" s="2" t="s">
        <v>18</v>
      </c>
      <c r="H1899" s="2" t="s">
        <v>36</v>
      </c>
      <c r="I1899" s="2" t="s">
        <v>37</v>
      </c>
      <c r="J1899" s="2" t="s">
        <v>162</v>
      </c>
      <c r="K1899" s="2" t="s">
        <v>1353</v>
      </c>
      <c r="L1899" s="3">
        <v>0.36527777777777781</v>
      </c>
      <c r="M1899" s="2" t="s">
        <v>268</v>
      </c>
      <c r="N1899" s="2" t="s">
        <v>500</v>
      </c>
      <c r="O1899" s="5"/>
      <c r="P1899" s="4"/>
      <c r="Q1899" s="4"/>
      <c r="R1899" s="4"/>
      <c r="S1899" s="4"/>
      <c r="T1899" s="4"/>
      <c r="U1899" s="4"/>
      <c r="V1899" s="4"/>
      <c r="W1899" s="4"/>
      <c r="X1899" s="4"/>
      <c r="Y1899" s="4"/>
      <c r="Z1899" s="4"/>
      <c r="AA1899" s="4"/>
      <c r="AB1899" s="4"/>
      <c r="AC1899" s="4"/>
      <c r="AD1899" s="4"/>
      <c r="AE1899" s="4"/>
      <c r="AF1899" s="4"/>
      <c r="AG1899" s="4"/>
      <c r="AH1899" s="4"/>
      <c r="AI1899" s="4"/>
      <c r="AJ1899" s="4"/>
      <c r="AK1899" s="4"/>
      <c r="AL1899" s="4"/>
      <c r="AM1899" s="4"/>
      <c r="AN1899" s="4"/>
      <c r="AO1899" s="4"/>
      <c r="AP1899" s="4"/>
      <c r="AQ1899" s="4"/>
      <c r="AR1899" s="4"/>
      <c r="AS1899" s="4"/>
      <c r="AT1899" s="4"/>
      <c r="AU1899" s="4"/>
      <c r="AV1899" s="4"/>
      <c r="AW1899" s="4"/>
      <c r="AX1899" s="4"/>
      <c r="AY1899" s="4"/>
      <c r="AZ1899" s="4"/>
      <c r="BA1899" s="4"/>
      <c r="BB1899" s="4"/>
      <c r="BC1899" s="4"/>
      <c r="BD1899" s="4"/>
      <c r="BE1899" s="4"/>
      <c r="BF1899" s="4"/>
      <c r="BG1899" s="4"/>
      <c r="BH1899" s="4"/>
      <c r="BI1899" s="4"/>
      <c r="BJ1899" s="4"/>
      <c r="BK1899" s="4"/>
      <c r="BL1899" s="4"/>
      <c r="BM1899" s="4"/>
      <c r="BN1899" s="4"/>
      <c r="BO1899" s="4"/>
      <c r="BP1899" s="4"/>
      <c r="BQ1899" s="4"/>
      <c r="BR1899" s="4"/>
      <c r="BS1899" s="4"/>
      <c r="BT1899" s="4"/>
      <c r="BU1899" s="4"/>
      <c r="BV1899" s="4"/>
      <c r="BW1899" s="4"/>
      <c r="BX1899" s="4"/>
      <c r="BY1899" s="4"/>
      <c r="BZ1899" s="4"/>
      <c r="CA1899" s="4"/>
      <c r="CB1899" s="4"/>
      <c r="CC1899" s="4"/>
      <c r="CD1899" s="4"/>
      <c r="CE1899" s="4"/>
      <c r="CF1899" s="4"/>
      <c r="CG1899" s="4"/>
      <c r="CH1899" s="4"/>
      <c r="CI1899" s="4"/>
      <c r="CJ1899" s="4"/>
      <c r="CK1899" s="4"/>
      <c r="CL1899" s="4"/>
      <c r="CM1899" s="4"/>
      <c r="CN1899" s="4"/>
      <c r="CO1899" s="4"/>
      <c r="CP1899" s="4"/>
      <c r="CQ1899" s="4"/>
      <c r="CR1899" s="4"/>
      <c r="CS1899" s="4"/>
      <c r="CT1899" s="4"/>
    </row>
    <row r="1900" spans="1:98" x14ac:dyDescent="0.25">
      <c r="A1900" s="2" t="s">
        <v>15</v>
      </c>
      <c r="B1900" s="2" t="str">
        <f>"FES1162770014"</f>
        <v>FES1162770014</v>
      </c>
      <c r="C1900" s="2" t="s">
        <v>1266</v>
      </c>
      <c r="D1900" s="2">
        <v>1</v>
      </c>
      <c r="E1900" s="2" t="str">
        <f>"2170756049"</f>
        <v>2170756049</v>
      </c>
      <c r="F1900" s="2" t="s">
        <v>17</v>
      </c>
      <c r="G1900" s="2" t="s">
        <v>18</v>
      </c>
      <c r="H1900" s="2" t="s">
        <v>19</v>
      </c>
      <c r="I1900" s="2" t="s">
        <v>111</v>
      </c>
      <c r="J1900" s="2" t="s">
        <v>405</v>
      </c>
      <c r="K1900" s="2" t="s">
        <v>1353</v>
      </c>
      <c r="L1900" s="3">
        <v>0.3659722222222222</v>
      </c>
      <c r="M1900" s="2" t="s">
        <v>406</v>
      </c>
      <c r="N1900" s="2" t="s">
        <v>500</v>
      </c>
      <c r="O1900" s="5"/>
      <c r="P1900" s="4"/>
      <c r="Q1900" s="4"/>
      <c r="R1900" s="4"/>
      <c r="S1900" s="4"/>
      <c r="T1900" s="4"/>
      <c r="U1900" s="4"/>
      <c r="V1900" s="4"/>
      <c r="W1900" s="4"/>
      <c r="X1900" s="4"/>
      <c r="Y1900" s="4"/>
      <c r="Z1900" s="4"/>
      <c r="AA1900" s="4"/>
      <c r="AB1900" s="4"/>
      <c r="AC1900" s="4"/>
      <c r="AD1900" s="4"/>
      <c r="AE1900" s="4"/>
      <c r="AF1900" s="4"/>
      <c r="AG1900" s="4"/>
      <c r="AH1900" s="4"/>
      <c r="AI1900" s="4"/>
      <c r="AJ1900" s="4"/>
      <c r="AK1900" s="4"/>
      <c r="AL1900" s="4"/>
      <c r="AM1900" s="4"/>
      <c r="AN1900" s="4"/>
      <c r="AO1900" s="4"/>
      <c r="AP1900" s="4"/>
      <c r="AQ1900" s="4"/>
      <c r="AR1900" s="4"/>
      <c r="AS1900" s="4"/>
      <c r="AT1900" s="4"/>
      <c r="AU1900" s="4"/>
      <c r="AV1900" s="4"/>
      <c r="AW1900" s="4"/>
      <c r="AX1900" s="4"/>
      <c r="AY1900" s="4"/>
      <c r="AZ1900" s="4"/>
      <c r="BA1900" s="4"/>
      <c r="BB1900" s="4"/>
      <c r="BC1900" s="4"/>
      <c r="BD1900" s="4"/>
      <c r="BE1900" s="4"/>
      <c r="BF1900" s="4"/>
      <c r="BG1900" s="4"/>
      <c r="BH1900" s="4"/>
      <c r="BI1900" s="4"/>
      <c r="BJ1900" s="4"/>
      <c r="BK1900" s="4"/>
      <c r="BL1900" s="4"/>
      <c r="BM1900" s="4"/>
      <c r="BN1900" s="4"/>
      <c r="BO1900" s="4"/>
      <c r="BP1900" s="4"/>
      <c r="BQ1900" s="4"/>
      <c r="BR1900" s="4"/>
      <c r="BS1900" s="4"/>
      <c r="BT1900" s="4"/>
      <c r="BU1900" s="4"/>
      <c r="BV1900" s="4"/>
      <c r="BW1900" s="4"/>
      <c r="BX1900" s="4"/>
      <c r="BY1900" s="4"/>
      <c r="BZ1900" s="4"/>
      <c r="CA1900" s="4"/>
      <c r="CB1900" s="4"/>
      <c r="CC1900" s="4"/>
      <c r="CD1900" s="4"/>
      <c r="CE1900" s="4"/>
      <c r="CF1900" s="4"/>
      <c r="CG1900" s="4"/>
      <c r="CH1900" s="4"/>
      <c r="CI1900" s="4"/>
      <c r="CJ1900" s="4"/>
      <c r="CK1900" s="4"/>
      <c r="CL1900" s="4"/>
      <c r="CM1900" s="4"/>
      <c r="CN1900" s="4"/>
      <c r="CO1900" s="4"/>
      <c r="CP1900" s="4"/>
      <c r="CQ1900" s="4"/>
      <c r="CR1900" s="4"/>
      <c r="CS1900" s="4"/>
      <c r="CT1900" s="4"/>
    </row>
    <row r="1901" spans="1:98" x14ac:dyDescent="0.25">
      <c r="A1901" s="2" t="s">
        <v>15</v>
      </c>
      <c r="B1901" s="2" t="str">
        <f>"FES1162770057"</f>
        <v>FES1162770057</v>
      </c>
      <c r="C1901" s="2" t="s">
        <v>1266</v>
      </c>
      <c r="D1901" s="2">
        <v>1</v>
      </c>
      <c r="E1901" s="2" t="str">
        <f>"2170757291"</f>
        <v>2170757291</v>
      </c>
      <c r="F1901" s="2" t="s">
        <v>17</v>
      </c>
      <c r="G1901" s="2" t="s">
        <v>18</v>
      </c>
      <c r="H1901" s="2" t="s">
        <v>78</v>
      </c>
      <c r="I1901" s="2" t="s">
        <v>79</v>
      </c>
      <c r="J1901" s="2" t="s">
        <v>898</v>
      </c>
      <c r="K1901" s="2" t="s">
        <v>1353</v>
      </c>
      <c r="L1901" s="3">
        <v>0.41250000000000003</v>
      </c>
      <c r="M1901" s="2" t="s">
        <v>1345</v>
      </c>
      <c r="N1901" s="2" t="s">
        <v>500</v>
      </c>
      <c r="O1901" s="2"/>
    </row>
    <row r="1902" spans="1:98" x14ac:dyDescent="0.25">
      <c r="A1902" s="2" t="s">
        <v>15</v>
      </c>
      <c r="B1902" s="2" t="str">
        <f>"FES1162769652"</f>
        <v>FES1162769652</v>
      </c>
      <c r="C1902" s="2" t="s">
        <v>1266</v>
      </c>
      <c r="D1902" s="2">
        <v>1</v>
      </c>
      <c r="E1902" s="2" t="str">
        <f>"2170756744"</f>
        <v>2170756744</v>
      </c>
      <c r="F1902" s="2" t="s">
        <v>17</v>
      </c>
      <c r="G1902" s="2" t="s">
        <v>18</v>
      </c>
      <c r="H1902" s="2" t="s">
        <v>36</v>
      </c>
      <c r="I1902" s="2" t="s">
        <v>37</v>
      </c>
      <c r="J1902" s="2" t="s">
        <v>279</v>
      </c>
      <c r="K1902" s="2" t="s">
        <v>1353</v>
      </c>
      <c r="L1902" s="3">
        <v>0.39305555555555555</v>
      </c>
      <c r="M1902" s="2" t="s">
        <v>408</v>
      </c>
      <c r="N1902" s="2" t="s">
        <v>500</v>
      </c>
      <c r="O1902" s="2"/>
    </row>
    <row r="1903" spans="1:98" x14ac:dyDescent="0.25">
      <c r="A1903" s="2" t="s">
        <v>15</v>
      </c>
      <c r="B1903" s="2" t="str">
        <f>"FES1162769851"</f>
        <v>FES1162769851</v>
      </c>
      <c r="C1903" s="2" t="s">
        <v>1266</v>
      </c>
      <c r="D1903" s="2">
        <v>1</v>
      </c>
      <c r="E1903" s="2" t="str">
        <f>"2170757131"</f>
        <v>2170757131</v>
      </c>
      <c r="F1903" s="2" t="s">
        <v>17</v>
      </c>
      <c r="G1903" s="2" t="s">
        <v>18</v>
      </c>
      <c r="H1903" s="2" t="s">
        <v>19</v>
      </c>
      <c r="I1903" s="2" t="s">
        <v>20</v>
      </c>
      <c r="J1903" s="2" t="s">
        <v>21</v>
      </c>
      <c r="K1903" s="2" t="s">
        <v>1353</v>
      </c>
      <c r="L1903" s="3">
        <v>0.38680555555555557</v>
      </c>
      <c r="M1903" s="2" t="s">
        <v>263</v>
      </c>
      <c r="N1903" s="2" t="s">
        <v>500</v>
      </c>
      <c r="O1903" s="2"/>
    </row>
    <row r="1904" spans="1:98" x14ac:dyDescent="0.25">
      <c r="A1904" s="2" t="s">
        <v>15</v>
      </c>
      <c r="B1904" s="2" t="str">
        <f>"FES1162769926"</f>
        <v>FES1162769926</v>
      </c>
      <c r="C1904" s="2" t="s">
        <v>1266</v>
      </c>
      <c r="D1904" s="2">
        <v>1</v>
      </c>
      <c r="E1904" s="2" t="str">
        <f>"2170755252"</f>
        <v>2170755252</v>
      </c>
      <c r="F1904" s="2" t="s">
        <v>17</v>
      </c>
      <c r="G1904" s="2" t="s">
        <v>18</v>
      </c>
      <c r="H1904" s="2" t="s">
        <v>33</v>
      </c>
      <c r="I1904" s="2" t="s">
        <v>34</v>
      </c>
      <c r="J1904" s="2" t="s">
        <v>868</v>
      </c>
      <c r="K1904" s="2" t="s">
        <v>1353</v>
      </c>
      <c r="L1904" s="3">
        <v>0.43333333333333335</v>
      </c>
      <c r="M1904" s="2" t="s">
        <v>1372</v>
      </c>
      <c r="N1904" s="2" t="s">
        <v>500</v>
      </c>
      <c r="O1904" s="2"/>
    </row>
    <row r="1905" spans="1:15" x14ac:dyDescent="0.25">
      <c r="A1905" s="2" t="s">
        <v>15</v>
      </c>
      <c r="B1905" s="2" t="str">
        <f>"FES1162770052"</f>
        <v>FES1162770052</v>
      </c>
      <c r="C1905" s="2" t="s">
        <v>1266</v>
      </c>
      <c r="D1905" s="2">
        <v>1</v>
      </c>
      <c r="E1905" s="2" t="str">
        <f>"2170757284"</f>
        <v>2170757284</v>
      </c>
      <c r="F1905" s="2" t="s">
        <v>17</v>
      </c>
      <c r="G1905" s="2" t="s">
        <v>18</v>
      </c>
      <c r="H1905" s="2" t="s">
        <v>19</v>
      </c>
      <c r="I1905" s="2" t="s">
        <v>114</v>
      </c>
      <c r="J1905" s="2" t="s">
        <v>66</v>
      </c>
      <c r="K1905" s="2" t="s">
        <v>1506</v>
      </c>
      <c r="L1905" s="3">
        <v>0.4375</v>
      </c>
      <c r="M1905" s="2" t="s">
        <v>1507</v>
      </c>
      <c r="N1905" s="2" t="s">
        <v>500</v>
      </c>
      <c r="O1905" s="2"/>
    </row>
    <row r="1906" spans="1:15" x14ac:dyDescent="0.25">
      <c r="A1906" s="2" t="s">
        <v>15</v>
      </c>
      <c r="B1906" s="2" t="str">
        <f>"FES1162769919"</f>
        <v>FES1162769919</v>
      </c>
      <c r="C1906" s="2" t="s">
        <v>1266</v>
      </c>
      <c r="D1906" s="2">
        <v>1</v>
      </c>
      <c r="E1906" s="2" t="str">
        <f>"2170755218"</f>
        <v>2170755218</v>
      </c>
      <c r="F1906" s="2" t="s">
        <v>17</v>
      </c>
      <c r="G1906" s="2" t="s">
        <v>18</v>
      </c>
      <c r="H1906" s="2" t="s">
        <v>36</v>
      </c>
      <c r="I1906" s="2" t="s">
        <v>37</v>
      </c>
      <c r="J1906" s="2" t="s">
        <v>476</v>
      </c>
      <c r="K1906" s="2" t="s">
        <v>1353</v>
      </c>
      <c r="L1906" s="3">
        <v>0.36458333333333331</v>
      </c>
      <c r="M1906" s="2" t="s">
        <v>1508</v>
      </c>
      <c r="N1906" s="2" t="s">
        <v>500</v>
      </c>
      <c r="O1906" s="2"/>
    </row>
    <row r="1907" spans="1:15" x14ac:dyDescent="0.25">
      <c r="A1907" s="2" t="s">
        <v>15</v>
      </c>
      <c r="B1907" s="2" t="str">
        <f>"FES1162769647"</f>
        <v>FES1162769647</v>
      </c>
      <c r="C1907" s="2" t="s">
        <v>1266</v>
      </c>
      <c r="D1907" s="2">
        <v>1</v>
      </c>
      <c r="E1907" s="2" t="str">
        <f>"2170756735"</f>
        <v>2170756735</v>
      </c>
      <c r="F1907" s="2" t="s">
        <v>17</v>
      </c>
      <c r="G1907" s="2" t="s">
        <v>18</v>
      </c>
      <c r="H1907" s="2" t="s">
        <v>36</v>
      </c>
      <c r="I1907" s="2" t="s">
        <v>67</v>
      </c>
      <c r="J1907" s="2" t="s">
        <v>1415</v>
      </c>
      <c r="K1907" s="2" t="s">
        <v>1353</v>
      </c>
      <c r="L1907" s="3">
        <v>0.42708333333333331</v>
      </c>
      <c r="M1907" s="2" t="s">
        <v>1509</v>
      </c>
      <c r="N1907" s="2" t="s">
        <v>500</v>
      </c>
      <c r="O1907" s="2"/>
    </row>
    <row r="1908" spans="1:15" x14ac:dyDescent="0.25">
      <c r="A1908" s="2" t="s">
        <v>15</v>
      </c>
      <c r="B1908" s="2" t="str">
        <f>"FES1162769922"</f>
        <v>FES1162769922</v>
      </c>
      <c r="C1908" s="2" t="s">
        <v>1266</v>
      </c>
      <c r="D1908" s="2">
        <v>1</v>
      </c>
      <c r="E1908" s="2" t="str">
        <f>"2170755232"</f>
        <v>2170755232</v>
      </c>
      <c r="F1908" s="2" t="s">
        <v>17</v>
      </c>
      <c r="G1908" s="2" t="s">
        <v>18</v>
      </c>
      <c r="H1908" s="2" t="s">
        <v>33</v>
      </c>
      <c r="I1908" s="2" t="s">
        <v>34</v>
      </c>
      <c r="J1908" s="2" t="s">
        <v>1416</v>
      </c>
      <c r="K1908" s="2" t="s">
        <v>1353</v>
      </c>
      <c r="L1908" s="3">
        <v>0.43333333333333335</v>
      </c>
      <c r="M1908" s="2" t="s">
        <v>1510</v>
      </c>
      <c r="N1908" s="2" t="s">
        <v>500</v>
      </c>
      <c r="O1908" s="2"/>
    </row>
    <row r="1909" spans="1:15" x14ac:dyDescent="0.25">
      <c r="A1909" s="2" t="s">
        <v>15</v>
      </c>
      <c r="B1909" s="2" t="str">
        <f>"FES1162769661"</f>
        <v>FES1162769661</v>
      </c>
      <c r="C1909" s="2" t="s">
        <v>1266</v>
      </c>
      <c r="D1909" s="2">
        <v>1</v>
      </c>
      <c r="E1909" s="2" t="str">
        <f>"2170756758"</f>
        <v>2170756758</v>
      </c>
      <c r="F1909" s="2" t="s">
        <v>17</v>
      </c>
      <c r="G1909" s="2" t="s">
        <v>18</v>
      </c>
      <c r="H1909" s="2" t="s">
        <v>36</v>
      </c>
      <c r="I1909" s="2" t="s">
        <v>37</v>
      </c>
      <c r="J1909" s="2" t="s">
        <v>54</v>
      </c>
      <c r="K1909" s="2" t="s">
        <v>1353</v>
      </c>
      <c r="L1909" s="3">
        <v>0.41666666666666669</v>
      </c>
      <c r="M1909" s="2" t="s">
        <v>1511</v>
      </c>
      <c r="N1909" s="2" t="s">
        <v>500</v>
      </c>
      <c r="O1909" s="2"/>
    </row>
    <row r="1910" spans="1:15" x14ac:dyDescent="0.25">
      <c r="A1910" s="2" t="s">
        <v>15</v>
      </c>
      <c r="B1910" s="2" t="str">
        <f>"FES1162769722"</f>
        <v>FES1162769722</v>
      </c>
      <c r="C1910" s="2" t="s">
        <v>1266</v>
      </c>
      <c r="D1910" s="2">
        <v>1</v>
      </c>
      <c r="E1910" s="2" t="str">
        <f>"2170756877"</f>
        <v>2170756877</v>
      </c>
      <c r="F1910" s="2" t="s">
        <v>17</v>
      </c>
      <c r="G1910" s="2" t="s">
        <v>18</v>
      </c>
      <c r="H1910" s="2" t="s">
        <v>78</v>
      </c>
      <c r="I1910" s="2" t="s">
        <v>79</v>
      </c>
      <c r="J1910" s="2" t="s">
        <v>81</v>
      </c>
      <c r="K1910" s="2" t="s">
        <v>1353</v>
      </c>
      <c r="L1910" s="3">
        <v>0.36805555555555558</v>
      </c>
      <c r="M1910" s="2" t="s">
        <v>1337</v>
      </c>
      <c r="N1910" s="2" t="s">
        <v>500</v>
      </c>
      <c r="O1910" s="2"/>
    </row>
    <row r="1911" spans="1:15" x14ac:dyDescent="0.25">
      <c r="A1911" s="2" t="s">
        <v>15</v>
      </c>
      <c r="B1911" s="2" t="str">
        <f>"FES1162769643"</f>
        <v>FES1162769643</v>
      </c>
      <c r="C1911" s="2" t="s">
        <v>1266</v>
      </c>
      <c r="D1911" s="2">
        <v>1</v>
      </c>
      <c r="E1911" s="2" t="str">
        <f>"2170756729"</f>
        <v>2170756729</v>
      </c>
      <c r="F1911" s="2" t="s">
        <v>17</v>
      </c>
      <c r="G1911" s="2" t="s">
        <v>18</v>
      </c>
      <c r="H1911" s="2" t="s">
        <v>36</v>
      </c>
      <c r="I1911" s="2" t="s">
        <v>37</v>
      </c>
      <c r="J1911" s="2" t="s">
        <v>476</v>
      </c>
      <c r="K1911" s="2" t="s">
        <v>1353</v>
      </c>
      <c r="L1911" s="3">
        <v>0.36458333333333331</v>
      </c>
      <c r="M1911" s="2" t="s">
        <v>1472</v>
      </c>
      <c r="N1911" s="2" t="s">
        <v>500</v>
      </c>
      <c r="O1911" s="2"/>
    </row>
    <row r="1912" spans="1:15" x14ac:dyDescent="0.25">
      <c r="A1912" s="2" t="s">
        <v>15</v>
      </c>
      <c r="B1912" s="2" t="str">
        <f>"FES1162769955"</f>
        <v>FES1162769955</v>
      </c>
      <c r="C1912" s="2" t="s">
        <v>1266</v>
      </c>
      <c r="D1912" s="2">
        <v>1</v>
      </c>
      <c r="E1912" s="2" t="str">
        <f>"2170755538"</f>
        <v>2170755538</v>
      </c>
      <c r="F1912" s="2" t="s">
        <v>17</v>
      </c>
      <c r="G1912" s="2" t="s">
        <v>18</v>
      </c>
      <c r="H1912" s="2" t="s">
        <v>36</v>
      </c>
      <c r="I1912" s="2" t="s">
        <v>67</v>
      </c>
      <c r="J1912" s="2" t="s">
        <v>68</v>
      </c>
      <c r="K1912" s="2" t="s">
        <v>1353</v>
      </c>
      <c r="L1912" s="3">
        <v>0.41666666666666669</v>
      </c>
      <c r="M1912" s="2" t="s">
        <v>190</v>
      </c>
      <c r="N1912" s="2" t="s">
        <v>500</v>
      </c>
      <c r="O1912" s="2"/>
    </row>
    <row r="1913" spans="1:15" x14ac:dyDescent="0.25">
      <c r="A1913" s="2" t="s">
        <v>15</v>
      </c>
      <c r="B1913" s="2" t="str">
        <f>"FES1162769681"</f>
        <v>FES1162769681</v>
      </c>
      <c r="C1913" s="2" t="s">
        <v>1266</v>
      </c>
      <c r="D1913" s="2">
        <v>1</v>
      </c>
      <c r="E1913" s="2" t="str">
        <f>"2170756790"</f>
        <v>2170756790</v>
      </c>
      <c r="F1913" s="2" t="s">
        <v>17</v>
      </c>
      <c r="G1913" s="2" t="s">
        <v>18</v>
      </c>
      <c r="H1913" s="2" t="s">
        <v>33</v>
      </c>
      <c r="I1913" s="2" t="s">
        <v>439</v>
      </c>
      <c r="J1913" s="2" t="s">
        <v>440</v>
      </c>
      <c r="K1913" s="2" t="s">
        <v>1506</v>
      </c>
      <c r="L1913" s="3">
        <v>0.45833333333333331</v>
      </c>
      <c r="M1913" s="2" t="s">
        <v>1512</v>
      </c>
      <c r="N1913" s="2" t="s">
        <v>500</v>
      </c>
      <c r="O1913" s="2"/>
    </row>
    <row r="1914" spans="1:15" x14ac:dyDescent="0.25">
      <c r="A1914" s="2" t="s">
        <v>15</v>
      </c>
      <c r="B1914" s="2" t="str">
        <f>"FES1162769776"</f>
        <v>FES1162769776</v>
      </c>
      <c r="C1914" s="2" t="s">
        <v>1266</v>
      </c>
      <c r="D1914" s="2">
        <v>1</v>
      </c>
      <c r="E1914" s="2" t="str">
        <f>"2170757008"</f>
        <v>2170757008</v>
      </c>
      <c r="F1914" s="2" t="s">
        <v>17</v>
      </c>
      <c r="G1914" s="2" t="s">
        <v>18</v>
      </c>
      <c r="H1914" s="2" t="s">
        <v>36</v>
      </c>
      <c r="I1914" s="2" t="s">
        <v>37</v>
      </c>
      <c r="J1914" s="2" t="s">
        <v>162</v>
      </c>
      <c r="K1914" s="2" t="s">
        <v>1353</v>
      </c>
      <c r="L1914" s="3">
        <v>0.36527777777777781</v>
      </c>
      <c r="M1914" s="2" t="s">
        <v>268</v>
      </c>
      <c r="N1914" s="2" t="s">
        <v>500</v>
      </c>
      <c r="O1914" s="2"/>
    </row>
    <row r="1915" spans="1:15" x14ac:dyDescent="0.25">
      <c r="A1915" s="2" t="s">
        <v>15</v>
      </c>
      <c r="B1915" s="2" t="str">
        <f>"FES1162769646"</f>
        <v>FES1162769646</v>
      </c>
      <c r="C1915" s="2" t="s">
        <v>1266</v>
      </c>
      <c r="D1915" s="2">
        <v>1</v>
      </c>
      <c r="E1915" s="2" t="str">
        <f>"2170756733"</f>
        <v>2170756733</v>
      </c>
      <c r="F1915" s="2" t="s">
        <v>17</v>
      </c>
      <c r="G1915" s="2" t="s">
        <v>18</v>
      </c>
      <c r="H1915" s="2" t="s">
        <v>363</v>
      </c>
      <c r="I1915" s="2" t="s">
        <v>364</v>
      </c>
      <c r="J1915" s="2" t="s">
        <v>365</v>
      </c>
      <c r="K1915" s="2" t="s">
        <v>1353</v>
      </c>
      <c r="L1915" s="3">
        <v>0.40069444444444446</v>
      </c>
      <c r="M1915" s="2" t="s">
        <v>366</v>
      </c>
      <c r="N1915" s="2" t="s">
        <v>500</v>
      </c>
      <c r="O1915" s="2"/>
    </row>
    <row r="1916" spans="1:15" x14ac:dyDescent="0.25">
      <c r="A1916" s="2" t="s">
        <v>15</v>
      </c>
      <c r="B1916" s="2" t="str">
        <f>"FES1162769764"</f>
        <v>FES1162769764</v>
      </c>
      <c r="C1916" s="2" t="s">
        <v>1266</v>
      </c>
      <c r="D1916" s="2">
        <v>1</v>
      </c>
      <c r="E1916" s="2" t="str">
        <f>"2170756984"</f>
        <v>2170756984</v>
      </c>
      <c r="F1916" s="2" t="s">
        <v>17</v>
      </c>
      <c r="G1916" s="2" t="s">
        <v>18</v>
      </c>
      <c r="H1916" s="2" t="s">
        <v>19</v>
      </c>
      <c r="I1916" s="2" t="s">
        <v>111</v>
      </c>
      <c r="J1916" s="2" t="s">
        <v>112</v>
      </c>
      <c r="K1916" s="2" t="s">
        <v>1353</v>
      </c>
      <c r="L1916" s="3">
        <v>0.44513888888888892</v>
      </c>
      <c r="M1916" s="2" t="s">
        <v>225</v>
      </c>
      <c r="N1916" s="2" t="s">
        <v>500</v>
      </c>
      <c r="O1916" s="2"/>
    </row>
    <row r="1917" spans="1:15" x14ac:dyDescent="0.25">
      <c r="A1917" s="2" t="s">
        <v>15</v>
      </c>
      <c r="B1917" s="2" t="str">
        <f>"FES1162769825"</f>
        <v>FES1162769825</v>
      </c>
      <c r="C1917" s="2" t="s">
        <v>1266</v>
      </c>
      <c r="D1917" s="2">
        <v>1</v>
      </c>
      <c r="E1917" s="2" t="str">
        <f>"2170757084"</f>
        <v>2170757084</v>
      </c>
      <c r="F1917" s="2" t="s">
        <v>17</v>
      </c>
      <c r="G1917" s="2" t="s">
        <v>18</v>
      </c>
      <c r="H1917" s="2" t="s">
        <v>36</v>
      </c>
      <c r="I1917" s="2" t="s">
        <v>37</v>
      </c>
      <c r="J1917" s="2" t="s">
        <v>279</v>
      </c>
      <c r="K1917" s="2" t="s">
        <v>1353</v>
      </c>
      <c r="L1917" s="3">
        <v>0.39305555555555555</v>
      </c>
      <c r="M1917" s="2" t="s">
        <v>719</v>
      </c>
      <c r="N1917" s="2" t="s">
        <v>500</v>
      </c>
      <c r="O1917" s="2"/>
    </row>
    <row r="1918" spans="1:15" x14ac:dyDescent="0.25">
      <c r="A1918" s="2" t="s">
        <v>15</v>
      </c>
      <c r="B1918" s="2" t="str">
        <f>"FES1162769964"</f>
        <v>FES1162769964</v>
      </c>
      <c r="C1918" s="2" t="s">
        <v>1266</v>
      </c>
      <c r="D1918" s="2">
        <v>1</v>
      </c>
      <c r="E1918" s="2" t="str">
        <f>"2170755613"</f>
        <v>2170755613</v>
      </c>
      <c r="F1918" s="2" t="s">
        <v>17</v>
      </c>
      <c r="G1918" s="2" t="s">
        <v>18</v>
      </c>
      <c r="H1918" s="2" t="s">
        <v>36</v>
      </c>
      <c r="I1918" s="2" t="s">
        <v>37</v>
      </c>
      <c r="J1918" s="2" t="s">
        <v>55</v>
      </c>
      <c r="K1918" s="2" t="s">
        <v>1353</v>
      </c>
      <c r="L1918" s="3">
        <v>0.36805555555555558</v>
      </c>
      <c r="M1918" s="2" t="s">
        <v>1470</v>
      </c>
      <c r="N1918" s="2" t="s">
        <v>500</v>
      </c>
      <c r="O1918" s="2"/>
    </row>
    <row r="1919" spans="1:15" x14ac:dyDescent="0.25">
      <c r="A1919" s="2" t="s">
        <v>15</v>
      </c>
      <c r="B1919" s="2" t="str">
        <f>"FES1162769974"</f>
        <v>FES1162769974</v>
      </c>
      <c r="C1919" s="2" t="s">
        <v>1266</v>
      </c>
      <c r="D1919" s="2">
        <v>1</v>
      </c>
      <c r="E1919" s="2" t="str">
        <f>"2170755720"</f>
        <v>2170755720</v>
      </c>
      <c r="F1919" s="2" t="s">
        <v>17</v>
      </c>
      <c r="G1919" s="2" t="s">
        <v>18</v>
      </c>
      <c r="H1919" s="2" t="s">
        <v>36</v>
      </c>
      <c r="I1919" s="2" t="s">
        <v>37</v>
      </c>
      <c r="J1919" s="2" t="s">
        <v>102</v>
      </c>
      <c r="K1919" s="2" t="s">
        <v>1353</v>
      </c>
      <c r="L1919" s="3">
        <v>0.39930555555555558</v>
      </c>
      <c r="M1919" s="2" t="s">
        <v>219</v>
      </c>
      <c r="N1919" s="2" t="s">
        <v>500</v>
      </c>
      <c r="O1919" s="2"/>
    </row>
    <row r="1920" spans="1:15" x14ac:dyDescent="0.25">
      <c r="A1920" s="2" t="s">
        <v>15</v>
      </c>
      <c r="B1920" s="2" t="str">
        <f>"FES1162769794"</f>
        <v>FES1162769794</v>
      </c>
      <c r="C1920" s="2" t="s">
        <v>1266</v>
      </c>
      <c r="D1920" s="2">
        <v>1</v>
      </c>
      <c r="E1920" s="2" t="str">
        <f>"2170757034"</f>
        <v>2170757034</v>
      </c>
      <c r="F1920" s="2" t="s">
        <v>17</v>
      </c>
      <c r="G1920" s="2" t="s">
        <v>18</v>
      </c>
      <c r="H1920" s="2" t="s">
        <v>19</v>
      </c>
      <c r="I1920" s="2" t="s">
        <v>111</v>
      </c>
      <c r="J1920" s="2" t="s">
        <v>357</v>
      </c>
      <c r="K1920" s="2" t="s">
        <v>1353</v>
      </c>
      <c r="L1920" s="3">
        <v>0.3354166666666667</v>
      </c>
      <c r="M1920" s="2" t="s">
        <v>1417</v>
      </c>
      <c r="N1920" s="2" t="s">
        <v>500</v>
      </c>
      <c r="O1920" s="2"/>
    </row>
    <row r="1921" spans="1:15" x14ac:dyDescent="0.25">
      <c r="A1921" s="2" t="s">
        <v>15</v>
      </c>
      <c r="B1921" s="2" t="str">
        <f>"FES1162769852"</f>
        <v>FES1162769852</v>
      </c>
      <c r="C1921" s="2" t="s">
        <v>1266</v>
      </c>
      <c r="D1921" s="2">
        <v>1</v>
      </c>
      <c r="E1921" s="2" t="str">
        <f>"2170757132"</f>
        <v>2170757132</v>
      </c>
      <c r="F1921" s="2" t="s">
        <v>17</v>
      </c>
      <c r="G1921" s="2" t="s">
        <v>18</v>
      </c>
      <c r="H1921" s="2" t="s">
        <v>363</v>
      </c>
      <c r="I1921" s="2" t="s">
        <v>489</v>
      </c>
      <c r="J1921" s="2" t="s">
        <v>490</v>
      </c>
      <c r="K1921" s="2" t="s">
        <v>1353</v>
      </c>
      <c r="L1921" s="3">
        <v>0.375</v>
      </c>
      <c r="M1921" s="2" t="s">
        <v>594</v>
      </c>
      <c r="N1921" s="2" t="s">
        <v>500</v>
      </c>
      <c r="O1921" s="2"/>
    </row>
    <row r="1922" spans="1:15" x14ac:dyDescent="0.25">
      <c r="A1922" s="2" t="s">
        <v>15</v>
      </c>
      <c r="B1922" s="2" t="str">
        <f>"FES1162769716"</f>
        <v>FES1162769716</v>
      </c>
      <c r="C1922" s="2" t="s">
        <v>1266</v>
      </c>
      <c r="D1922" s="2">
        <v>1</v>
      </c>
      <c r="E1922" s="2" t="str">
        <f>"2170756868"</f>
        <v>2170756868</v>
      </c>
      <c r="F1922" s="2" t="s">
        <v>17</v>
      </c>
      <c r="G1922" s="2" t="s">
        <v>18</v>
      </c>
      <c r="H1922" s="2" t="s">
        <v>25</v>
      </c>
      <c r="I1922" s="2" t="s">
        <v>125</v>
      </c>
      <c r="J1922" s="2" t="s">
        <v>126</v>
      </c>
      <c r="K1922" s="2" t="s">
        <v>1353</v>
      </c>
      <c r="L1922" s="3">
        <v>0.53541666666666665</v>
      </c>
      <c r="M1922" s="2" t="s">
        <v>1474</v>
      </c>
      <c r="N1922" s="2" t="s">
        <v>500</v>
      </c>
      <c r="O1922" s="2"/>
    </row>
    <row r="1923" spans="1:15" x14ac:dyDescent="0.25">
      <c r="A1923" s="2" t="s">
        <v>15</v>
      </c>
      <c r="B1923" s="2" t="str">
        <f>"FES1162769875"</f>
        <v>FES1162769875</v>
      </c>
      <c r="C1923" s="2" t="s">
        <v>1266</v>
      </c>
      <c r="D1923" s="2">
        <v>1</v>
      </c>
      <c r="E1923" s="2" t="str">
        <f>"2170756928"</f>
        <v>2170756928</v>
      </c>
      <c r="F1923" s="2" t="s">
        <v>17</v>
      </c>
      <c r="G1923" s="2" t="s">
        <v>18</v>
      </c>
      <c r="H1923" s="2" t="s">
        <v>19</v>
      </c>
      <c r="I1923" s="2" t="s">
        <v>130</v>
      </c>
      <c r="J1923" s="2" t="s">
        <v>131</v>
      </c>
      <c r="K1923" s="2" t="s">
        <v>1353</v>
      </c>
      <c r="L1923" s="3">
        <v>0.39861111111111108</v>
      </c>
      <c r="M1923" s="2" t="s">
        <v>236</v>
      </c>
      <c r="N1923" s="2" t="s">
        <v>500</v>
      </c>
      <c r="O1923" s="2"/>
    </row>
    <row r="1924" spans="1:15" x14ac:dyDescent="0.25">
      <c r="A1924" s="2" t="s">
        <v>15</v>
      </c>
      <c r="B1924" s="2" t="str">
        <f>"FES1162770045"</f>
        <v>FES1162770045</v>
      </c>
      <c r="C1924" s="2" t="s">
        <v>1266</v>
      </c>
      <c r="D1924" s="2">
        <v>1</v>
      </c>
      <c r="E1924" s="2" t="str">
        <f>"2170757277"</f>
        <v>2170757277</v>
      </c>
      <c r="F1924" s="2" t="s">
        <v>205</v>
      </c>
      <c r="G1924" s="2" t="s">
        <v>206</v>
      </c>
      <c r="H1924" s="2" t="s">
        <v>78</v>
      </c>
      <c r="I1924" s="2" t="s">
        <v>79</v>
      </c>
      <c r="J1924" s="2" t="s">
        <v>81</v>
      </c>
      <c r="K1924" s="2" t="s">
        <v>1513</v>
      </c>
      <c r="L1924" s="3">
        <v>0.36319444444444443</v>
      </c>
      <c r="M1924" s="2" t="s">
        <v>1514</v>
      </c>
      <c r="N1924" s="2" t="s">
        <v>500</v>
      </c>
      <c r="O1924" s="2"/>
    </row>
    <row r="1925" spans="1:15" x14ac:dyDescent="0.25">
      <c r="A1925" s="2" t="s">
        <v>15</v>
      </c>
      <c r="B1925" s="2" t="str">
        <f>"FES1162769627"</f>
        <v>FES1162769627</v>
      </c>
      <c r="C1925" s="2" t="s">
        <v>1266</v>
      </c>
      <c r="D1925" s="2">
        <v>1</v>
      </c>
      <c r="E1925" s="2" t="str">
        <f>"2170756704"</f>
        <v>2170756704</v>
      </c>
      <c r="F1925" s="2" t="s">
        <v>17</v>
      </c>
      <c r="G1925" s="2" t="s">
        <v>18</v>
      </c>
      <c r="H1925" s="2" t="s">
        <v>18</v>
      </c>
      <c r="I1925" s="2" t="s">
        <v>46</v>
      </c>
      <c r="J1925" s="2" t="s">
        <v>431</v>
      </c>
      <c r="K1925" s="2" t="s">
        <v>1353</v>
      </c>
      <c r="L1925" s="3">
        <v>0.35555555555555557</v>
      </c>
      <c r="M1925" s="2" t="s">
        <v>180</v>
      </c>
      <c r="N1925" s="2" t="s">
        <v>500</v>
      </c>
      <c r="O1925" s="2"/>
    </row>
    <row r="1926" spans="1:15" x14ac:dyDescent="0.25">
      <c r="A1926" s="2" t="s">
        <v>15</v>
      </c>
      <c r="B1926" s="2" t="str">
        <f>"FES1162769625"</f>
        <v>FES1162769625</v>
      </c>
      <c r="C1926" s="2" t="s">
        <v>1266</v>
      </c>
      <c r="D1926" s="2">
        <v>1</v>
      </c>
      <c r="E1926" s="2" t="str">
        <f>"2170756702"</f>
        <v>2170756702</v>
      </c>
      <c r="F1926" s="2" t="s">
        <v>17</v>
      </c>
      <c r="G1926" s="2" t="s">
        <v>18</v>
      </c>
      <c r="H1926" s="2" t="s">
        <v>18</v>
      </c>
      <c r="I1926" s="2" t="s">
        <v>63</v>
      </c>
      <c r="J1926" s="2" t="s">
        <v>93</v>
      </c>
      <c r="K1926" s="2" t="s">
        <v>1353</v>
      </c>
      <c r="L1926" s="3">
        <v>0.34791666666666665</v>
      </c>
      <c r="M1926" s="2" t="s">
        <v>736</v>
      </c>
      <c r="N1926" s="2" t="s">
        <v>500</v>
      </c>
      <c r="O1926" s="2"/>
    </row>
    <row r="1927" spans="1:15" x14ac:dyDescent="0.25">
      <c r="A1927" s="2" t="s">
        <v>15</v>
      </c>
      <c r="B1927" s="2" t="str">
        <f>"FES1162769788"</f>
        <v>FES1162769788</v>
      </c>
      <c r="C1927" s="2" t="s">
        <v>1266</v>
      </c>
      <c r="D1927" s="2">
        <v>1</v>
      </c>
      <c r="E1927" s="2" t="str">
        <f>"2170757027"</f>
        <v>2170757027</v>
      </c>
      <c r="F1927" s="2" t="s">
        <v>17</v>
      </c>
      <c r="G1927" s="2" t="s">
        <v>18</v>
      </c>
      <c r="H1927" s="2" t="s">
        <v>19</v>
      </c>
      <c r="I1927" s="2" t="s">
        <v>111</v>
      </c>
      <c r="J1927" s="2" t="s">
        <v>112</v>
      </c>
      <c r="K1927" s="2" t="s">
        <v>1353</v>
      </c>
      <c r="L1927" s="3">
        <v>0.44513888888888892</v>
      </c>
      <c r="M1927" s="2" t="s">
        <v>225</v>
      </c>
      <c r="N1927" s="2" t="s">
        <v>500</v>
      </c>
      <c r="O1927" s="2"/>
    </row>
    <row r="1928" spans="1:15" x14ac:dyDescent="0.25">
      <c r="A1928" s="2" t="s">
        <v>15</v>
      </c>
      <c r="B1928" s="2" t="str">
        <f>"FES1162769829"</f>
        <v>FES1162769829</v>
      </c>
      <c r="C1928" s="2" t="s">
        <v>1266</v>
      </c>
      <c r="D1928" s="2">
        <v>1</v>
      </c>
      <c r="E1928" s="2" t="str">
        <f>"2170757091"</f>
        <v>2170757091</v>
      </c>
      <c r="F1928" s="2" t="s">
        <v>17</v>
      </c>
      <c r="G1928" s="2" t="s">
        <v>18</v>
      </c>
      <c r="H1928" s="2" t="s">
        <v>19</v>
      </c>
      <c r="I1928" s="2" t="s">
        <v>20</v>
      </c>
      <c r="J1928" s="2" t="s">
        <v>166</v>
      </c>
      <c r="K1928" s="2" t="s">
        <v>1353</v>
      </c>
      <c r="L1928" s="3">
        <v>0.50208333333333333</v>
      </c>
      <c r="M1928" s="2" t="s">
        <v>1348</v>
      </c>
      <c r="N1928" s="2" t="s">
        <v>500</v>
      </c>
      <c r="O1928" s="2"/>
    </row>
    <row r="1929" spans="1:15" x14ac:dyDescent="0.25">
      <c r="A1929" s="2" t="s">
        <v>15</v>
      </c>
      <c r="B1929" s="2" t="str">
        <f>"FES1162769835"</f>
        <v>FES1162769835</v>
      </c>
      <c r="C1929" s="2" t="s">
        <v>1266</v>
      </c>
      <c r="D1929" s="2">
        <v>1</v>
      </c>
      <c r="E1929" s="2" t="str">
        <f>"2170757103"</f>
        <v>2170757103</v>
      </c>
      <c r="F1929" s="2" t="s">
        <v>17</v>
      </c>
      <c r="G1929" s="2" t="s">
        <v>18</v>
      </c>
      <c r="H1929" s="2" t="s">
        <v>78</v>
      </c>
      <c r="I1929" s="2" t="s">
        <v>79</v>
      </c>
      <c r="J1929" s="2" t="s">
        <v>1418</v>
      </c>
      <c r="K1929" s="2" t="s">
        <v>1353</v>
      </c>
      <c r="L1929" s="3">
        <v>0.42152777777777778</v>
      </c>
      <c r="M1929" s="2" t="s">
        <v>1515</v>
      </c>
      <c r="N1929" s="2" t="s">
        <v>500</v>
      </c>
      <c r="O1929" s="2"/>
    </row>
    <row r="1930" spans="1:15" x14ac:dyDescent="0.25">
      <c r="A1930" s="2" t="s">
        <v>15</v>
      </c>
      <c r="B1930" s="2" t="str">
        <f>"FES1162769577"</f>
        <v>FES1162769577</v>
      </c>
      <c r="C1930" s="2" t="s">
        <v>1266</v>
      </c>
      <c r="D1930" s="2">
        <v>1</v>
      </c>
      <c r="E1930" s="2" t="str">
        <f>"2170756610"</f>
        <v>2170756610</v>
      </c>
      <c r="F1930" s="2" t="s">
        <v>17</v>
      </c>
      <c r="G1930" s="2" t="s">
        <v>18</v>
      </c>
      <c r="H1930" s="2" t="s">
        <v>19</v>
      </c>
      <c r="I1930" s="2" t="s">
        <v>20</v>
      </c>
      <c r="J1930" s="2" t="s">
        <v>461</v>
      </c>
      <c r="K1930" s="2" t="s">
        <v>1353</v>
      </c>
      <c r="L1930" s="3">
        <v>0.37152777777777773</v>
      </c>
      <c r="M1930" s="2" t="s">
        <v>568</v>
      </c>
      <c r="N1930" s="2" t="s">
        <v>500</v>
      </c>
      <c r="O1930" s="2"/>
    </row>
    <row r="1931" spans="1:15" x14ac:dyDescent="0.25">
      <c r="A1931" s="2" t="s">
        <v>15</v>
      </c>
      <c r="B1931" s="2" t="str">
        <f>"FES1162770030"</f>
        <v>FES1162770030</v>
      </c>
      <c r="C1931" s="2" t="s">
        <v>1266</v>
      </c>
      <c r="D1931" s="2">
        <v>1</v>
      </c>
      <c r="E1931" s="2" t="str">
        <f>"2170737259"</f>
        <v>2170737259</v>
      </c>
      <c r="F1931" s="2" t="s">
        <v>17</v>
      </c>
      <c r="G1931" s="2" t="s">
        <v>18</v>
      </c>
      <c r="H1931" s="2" t="s">
        <v>19</v>
      </c>
      <c r="I1931" s="2" t="s">
        <v>114</v>
      </c>
      <c r="J1931" s="2" t="s">
        <v>66</v>
      </c>
      <c r="K1931" s="2" t="s">
        <v>1506</v>
      </c>
      <c r="L1931" s="3">
        <v>0.4375</v>
      </c>
      <c r="M1931" s="2" t="s">
        <v>1516</v>
      </c>
      <c r="N1931" s="2" t="s">
        <v>500</v>
      </c>
      <c r="O1931" s="2"/>
    </row>
    <row r="1932" spans="1:15" x14ac:dyDescent="0.25">
      <c r="A1932" s="2" t="s">
        <v>15</v>
      </c>
      <c r="B1932" s="2" t="str">
        <f>"FES1162769754"</f>
        <v>FES1162769754</v>
      </c>
      <c r="C1932" s="2" t="s">
        <v>1266</v>
      </c>
      <c r="D1932" s="2">
        <v>1</v>
      </c>
      <c r="E1932" s="2" t="str">
        <f>"2170756965"</f>
        <v>2170756965</v>
      </c>
      <c r="F1932" s="2" t="s">
        <v>17</v>
      </c>
      <c r="G1932" s="2" t="s">
        <v>18</v>
      </c>
      <c r="H1932" s="2" t="s">
        <v>18</v>
      </c>
      <c r="I1932" s="2" t="s">
        <v>46</v>
      </c>
      <c r="J1932" s="2" t="s">
        <v>1419</v>
      </c>
      <c r="K1932" s="2" t="s">
        <v>1353</v>
      </c>
      <c r="L1932" s="3">
        <v>0.45833333333333331</v>
      </c>
      <c r="M1932" s="2" t="s">
        <v>732</v>
      </c>
      <c r="N1932" s="2" t="s">
        <v>500</v>
      </c>
      <c r="O1932" s="2"/>
    </row>
    <row r="1933" spans="1:15" x14ac:dyDescent="0.25">
      <c r="A1933" s="2" t="s">
        <v>15</v>
      </c>
      <c r="B1933" s="2" t="str">
        <f>"FES1162770054"</f>
        <v>FES1162770054</v>
      </c>
      <c r="C1933" s="2" t="s">
        <v>1266</v>
      </c>
      <c r="D1933" s="2">
        <v>1</v>
      </c>
      <c r="E1933" s="2" t="str">
        <f>"2170757286"</f>
        <v>2170757286</v>
      </c>
      <c r="F1933" s="2" t="s">
        <v>17</v>
      </c>
      <c r="G1933" s="2" t="s">
        <v>18</v>
      </c>
      <c r="H1933" s="2" t="s">
        <v>19</v>
      </c>
      <c r="I1933" s="2" t="s">
        <v>111</v>
      </c>
      <c r="J1933" s="2" t="s">
        <v>112</v>
      </c>
      <c r="K1933" s="2" t="s">
        <v>1353</v>
      </c>
      <c r="L1933" s="3">
        <v>0.44513888888888892</v>
      </c>
      <c r="M1933" s="2" t="s">
        <v>225</v>
      </c>
      <c r="N1933" s="2" t="s">
        <v>500</v>
      </c>
      <c r="O1933" s="2"/>
    </row>
    <row r="1934" spans="1:15" x14ac:dyDescent="0.25">
      <c r="A1934" s="2" t="s">
        <v>15</v>
      </c>
      <c r="B1934" s="2" t="str">
        <f>"FES1162769158"</f>
        <v>FES1162769158</v>
      </c>
      <c r="C1934" s="2" t="s">
        <v>1266</v>
      </c>
      <c r="D1934" s="2">
        <v>1</v>
      </c>
      <c r="E1934" s="2" t="str">
        <f>"2170755276"</f>
        <v>2170755276</v>
      </c>
      <c r="F1934" s="2" t="s">
        <v>17</v>
      </c>
      <c r="G1934" s="2" t="s">
        <v>18</v>
      </c>
      <c r="H1934" s="2" t="s">
        <v>18</v>
      </c>
      <c r="I1934" s="2" t="s">
        <v>157</v>
      </c>
      <c r="J1934" s="2" t="s">
        <v>158</v>
      </c>
      <c r="K1934" s="2" t="s">
        <v>1353</v>
      </c>
      <c r="L1934" s="3">
        <v>0.4284722222222222</v>
      </c>
      <c r="M1934" s="2" t="s">
        <v>253</v>
      </c>
      <c r="N1934" s="2" t="s">
        <v>500</v>
      </c>
      <c r="O1934" s="2"/>
    </row>
    <row r="1935" spans="1:15" x14ac:dyDescent="0.25">
      <c r="A1935" s="2" t="s">
        <v>15</v>
      </c>
      <c r="B1935" s="2" t="str">
        <f>"FES1162770003"</f>
        <v>FES1162770003</v>
      </c>
      <c r="C1935" s="2" t="s">
        <v>1266</v>
      </c>
      <c r="D1935" s="2">
        <v>1</v>
      </c>
      <c r="E1935" s="2" t="str">
        <f>"2170757234"</f>
        <v>2170757234</v>
      </c>
      <c r="F1935" s="2" t="s">
        <v>17</v>
      </c>
      <c r="G1935" s="2" t="s">
        <v>18</v>
      </c>
      <c r="H1935" s="2" t="s">
        <v>19</v>
      </c>
      <c r="I1935" s="2" t="s">
        <v>20</v>
      </c>
      <c r="J1935" s="2" t="s">
        <v>767</v>
      </c>
      <c r="K1935" s="2" t="s">
        <v>1353</v>
      </c>
      <c r="L1935" s="3">
        <v>0.33194444444444443</v>
      </c>
      <c r="M1935" s="2" t="s">
        <v>826</v>
      </c>
      <c r="N1935" s="2" t="s">
        <v>500</v>
      </c>
      <c r="O1935" s="2"/>
    </row>
    <row r="1936" spans="1:15" x14ac:dyDescent="0.25">
      <c r="A1936" s="2" t="s">
        <v>15</v>
      </c>
      <c r="B1936" s="2" t="str">
        <f>"FES1162769772"</f>
        <v>FES1162769772</v>
      </c>
      <c r="C1936" s="2" t="s">
        <v>1266</v>
      </c>
      <c r="D1936" s="2">
        <v>1</v>
      </c>
      <c r="E1936" s="2" t="str">
        <f>"2170756996"</f>
        <v>2170756996</v>
      </c>
      <c r="F1936" s="2" t="s">
        <v>17</v>
      </c>
      <c r="G1936" s="2" t="s">
        <v>18</v>
      </c>
      <c r="H1936" s="2" t="s">
        <v>18</v>
      </c>
      <c r="I1936" s="2" t="s">
        <v>116</v>
      </c>
      <c r="J1936" s="2" t="s">
        <v>786</v>
      </c>
      <c r="K1936" s="2" t="s">
        <v>1353</v>
      </c>
      <c r="L1936" s="3">
        <v>0.45069444444444445</v>
      </c>
      <c r="M1936" s="2" t="s">
        <v>1517</v>
      </c>
      <c r="N1936" s="2" t="s">
        <v>500</v>
      </c>
      <c r="O1936" s="2"/>
    </row>
    <row r="1937" spans="1:15" x14ac:dyDescent="0.25">
      <c r="A1937" s="2" t="s">
        <v>15</v>
      </c>
      <c r="B1937" s="2" t="str">
        <f>"FES1162770063"</f>
        <v>FES1162770063</v>
      </c>
      <c r="C1937" s="2" t="s">
        <v>1266</v>
      </c>
      <c r="D1937" s="2">
        <v>1</v>
      </c>
      <c r="E1937" s="2" t="str">
        <f>"2170757296"</f>
        <v>2170757296</v>
      </c>
      <c r="F1937" s="2" t="s">
        <v>17</v>
      </c>
      <c r="G1937" s="2" t="s">
        <v>18</v>
      </c>
      <c r="H1937" s="2" t="s">
        <v>19</v>
      </c>
      <c r="I1937" s="2" t="s">
        <v>20</v>
      </c>
      <c r="J1937" s="2" t="s">
        <v>1312</v>
      </c>
      <c r="K1937" s="2" t="s">
        <v>1353</v>
      </c>
      <c r="L1937" s="3">
        <v>0.44236111111111115</v>
      </c>
      <c r="M1937" s="2" t="s">
        <v>1518</v>
      </c>
      <c r="N1937" s="2" t="s">
        <v>500</v>
      </c>
      <c r="O1937" s="2"/>
    </row>
    <row r="1938" spans="1:15" x14ac:dyDescent="0.25">
      <c r="A1938" s="2" t="s">
        <v>15</v>
      </c>
      <c r="B1938" s="2" t="str">
        <f>"FES1162769712"</f>
        <v>FES1162769712</v>
      </c>
      <c r="C1938" s="2" t="s">
        <v>1266</v>
      </c>
      <c r="D1938" s="2">
        <v>1</v>
      </c>
      <c r="E1938" s="2" t="str">
        <f>"2170756859"</f>
        <v>2170756859</v>
      </c>
      <c r="F1938" s="2" t="s">
        <v>17</v>
      </c>
      <c r="G1938" s="2" t="s">
        <v>18</v>
      </c>
      <c r="H1938" s="2" t="s">
        <v>19</v>
      </c>
      <c r="I1938" s="2" t="s">
        <v>20</v>
      </c>
      <c r="J1938" s="2" t="s">
        <v>106</v>
      </c>
      <c r="K1938" s="2" t="s">
        <v>1353</v>
      </c>
      <c r="L1938" s="3">
        <v>0.34097222222222223</v>
      </c>
      <c r="M1938" s="2" t="s">
        <v>1519</v>
      </c>
      <c r="N1938" s="2" t="s">
        <v>500</v>
      </c>
      <c r="O1938" s="2"/>
    </row>
    <row r="1939" spans="1:15" x14ac:dyDescent="0.25">
      <c r="A1939" s="2" t="s">
        <v>15</v>
      </c>
      <c r="B1939" s="2" t="str">
        <f>"FES1162770020"</f>
        <v>FES1162770020</v>
      </c>
      <c r="C1939" s="2" t="s">
        <v>1266</v>
      </c>
      <c r="D1939" s="2">
        <v>1</v>
      </c>
      <c r="E1939" s="2" t="str">
        <f>"2170757247"</f>
        <v>2170757247</v>
      </c>
      <c r="F1939" s="2" t="s">
        <v>17</v>
      </c>
      <c r="G1939" s="2" t="s">
        <v>18</v>
      </c>
      <c r="H1939" s="2" t="s">
        <v>19</v>
      </c>
      <c r="I1939" s="2" t="s">
        <v>269</v>
      </c>
      <c r="J1939" s="2" t="s">
        <v>796</v>
      </c>
      <c r="K1939" s="2" t="s">
        <v>1506</v>
      </c>
      <c r="L1939" s="3">
        <v>0.4375</v>
      </c>
      <c r="M1939" s="2" t="s">
        <v>1520</v>
      </c>
      <c r="N1939" s="2" t="s">
        <v>500</v>
      </c>
      <c r="O1939" s="2"/>
    </row>
    <row r="1940" spans="1:15" x14ac:dyDescent="0.25">
      <c r="A1940" s="2" t="s">
        <v>15</v>
      </c>
      <c r="B1940" s="2" t="str">
        <f>"FES1162770022"</f>
        <v>FES1162770022</v>
      </c>
      <c r="C1940" s="2" t="s">
        <v>1266</v>
      </c>
      <c r="D1940" s="2">
        <v>1</v>
      </c>
      <c r="E1940" s="2" t="str">
        <f>"2170757251"</f>
        <v>2170757251</v>
      </c>
      <c r="F1940" s="2" t="s">
        <v>17</v>
      </c>
      <c r="G1940" s="2" t="s">
        <v>18</v>
      </c>
      <c r="H1940" s="2" t="s">
        <v>19</v>
      </c>
      <c r="I1940" s="2" t="s">
        <v>269</v>
      </c>
      <c r="J1940" s="2" t="s">
        <v>796</v>
      </c>
      <c r="K1940" s="2" t="s">
        <v>1506</v>
      </c>
      <c r="L1940" s="3">
        <v>0.4375</v>
      </c>
      <c r="M1940" s="2" t="s">
        <v>1520</v>
      </c>
      <c r="N1940" s="2" t="s">
        <v>500</v>
      </c>
      <c r="O1940" s="2"/>
    </row>
    <row r="1941" spans="1:15" x14ac:dyDescent="0.25">
      <c r="A1941" s="2" t="s">
        <v>15</v>
      </c>
      <c r="B1941" s="2" t="str">
        <f>"FES1162769868"</f>
        <v>FES1162769868</v>
      </c>
      <c r="C1941" s="2" t="s">
        <v>1266</v>
      </c>
      <c r="D1941" s="2">
        <v>1</v>
      </c>
      <c r="E1941" s="2" t="str">
        <f>"2170757170"</f>
        <v>2170757170</v>
      </c>
      <c r="F1941" s="2" t="s">
        <v>17</v>
      </c>
      <c r="G1941" s="2" t="s">
        <v>18</v>
      </c>
      <c r="H1941" s="2" t="s">
        <v>19</v>
      </c>
      <c r="I1941" s="2" t="s">
        <v>73</v>
      </c>
      <c r="J1941" s="2" t="s">
        <v>491</v>
      </c>
      <c r="K1941" s="2" t="s">
        <v>1353</v>
      </c>
      <c r="L1941" s="3">
        <v>0.40833333333333338</v>
      </c>
      <c r="M1941" s="2" t="s">
        <v>934</v>
      </c>
      <c r="N1941" s="2" t="s">
        <v>500</v>
      </c>
      <c r="O1941" s="2"/>
    </row>
    <row r="1942" spans="1:15" x14ac:dyDescent="0.25">
      <c r="A1942" s="2" t="s">
        <v>15</v>
      </c>
      <c r="B1942" s="2" t="str">
        <f>"FES1162769893"</f>
        <v>FES1162769893</v>
      </c>
      <c r="C1942" s="2" t="s">
        <v>1266</v>
      </c>
      <c r="D1942" s="2">
        <v>1</v>
      </c>
      <c r="E1942" s="2" t="str">
        <f>"2170757171"</f>
        <v>2170757171</v>
      </c>
      <c r="F1942" s="2" t="s">
        <v>17</v>
      </c>
      <c r="G1942" s="2" t="s">
        <v>18</v>
      </c>
      <c r="H1942" s="2" t="s">
        <v>19</v>
      </c>
      <c r="I1942" s="2" t="s">
        <v>20</v>
      </c>
      <c r="J1942" s="2" t="s">
        <v>29</v>
      </c>
      <c r="K1942" s="2" t="s">
        <v>1353</v>
      </c>
      <c r="L1942" s="3">
        <v>0.48819444444444443</v>
      </c>
      <c r="M1942" s="2" t="s">
        <v>173</v>
      </c>
      <c r="N1942" s="2" t="s">
        <v>500</v>
      </c>
      <c r="O1942" s="2"/>
    </row>
    <row r="1943" spans="1:15" x14ac:dyDescent="0.25">
      <c r="A1943" s="2" t="s">
        <v>15</v>
      </c>
      <c r="B1943" s="2" t="str">
        <f>"FES1162770040"</f>
        <v>FES1162770040</v>
      </c>
      <c r="C1943" s="2" t="s">
        <v>1266</v>
      </c>
      <c r="D1943" s="2">
        <v>1</v>
      </c>
      <c r="E1943" s="2" t="str">
        <f>"2170757262"</f>
        <v>2170757262</v>
      </c>
      <c r="F1943" s="2" t="s">
        <v>17</v>
      </c>
      <c r="G1943" s="2" t="s">
        <v>18</v>
      </c>
      <c r="H1943" s="2" t="s">
        <v>18</v>
      </c>
      <c r="I1943" s="2" t="s">
        <v>46</v>
      </c>
      <c r="J1943" s="2" t="s">
        <v>1420</v>
      </c>
      <c r="K1943" s="2" t="s">
        <v>1353</v>
      </c>
      <c r="L1943" s="3">
        <v>0.34027777777777773</v>
      </c>
      <c r="M1943" s="2" t="s">
        <v>354</v>
      </c>
      <c r="N1943" s="2" t="s">
        <v>500</v>
      </c>
      <c r="O1943" s="2"/>
    </row>
    <row r="1944" spans="1:15" x14ac:dyDescent="0.25">
      <c r="A1944" s="2" t="s">
        <v>15</v>
      </c>
      <c r="B1944" s="2" t="str">
        <f>"FES1162769510"</f>
        <v>FES1162769510</v>
      </c>
      <c r="C1944" s="2" t="s">
        <v>1266</v>
      </c>
      <c r="D1944" s="2">
        <v>1</v>
      </c>
      <c r="E1944" s="2" t="str">
        <f>"2170755401"</f>
        <v>2170755401</v>
      </c>
      <c r="F1944" s="2" t="s">
        <v>17</v>
      </c>
      <c r="G1944" s="2" t="s">
        <v>18</v>
      </c>
      <c r="H1944" s="2" t="s">
        <v>18</v>
      </c>
      <c r="I1944" s="2" t="s">
        <v>57</v>
      </c>
      <c r="J1944" s="2" t="s">
        <v>99</v>
      </c>
      <c r="K1944" s="2" t="s">
        <v>1353</v>
      </c>
      <c r="L1944" s="3">
        <v>0.4375</v>
      </c>
      <c r="M1944" s="2" t="s">
        <v>1521</v>
      </c>
      <c r="N1944" s="2" t="s">
        <v>500</v>
      </c>
      <c r="O1944" s="2"/>
    </row>
    <row r="1945" spans="1:15" x14ac:dyDescent="0.25">
      <c r="A1945" s="2" t="s">
        <v>15</v>
      </c>
      <c r="B1945" s="2" t="str">
        <f>"FES1162769524"</f>
        <v>FES1162769524</v>
      </c>
      <c r="C1945" s="2" t="s">
        <v>1266</v>
      </c>
      <c r="D1945" s="2">
        <v>1</v>
      </c>
      <c r="E1945" s="2" t="str">
        <f>"2170755717"</f>
        <v>2170755717</v>
      </c>
      <c r="F1945" s="2" t="s">
        <v>17</v>
      </c>
      <c r="G1945" s="2" t="s">
        <v>18</v>
      </c>
      <c r="H1945" s="2" t="s">
        <v>25</v>
      </c>
      <c r="I1945" s="2" t="s">
        <v>26</v>
      </c>
      <c r="J1945" s="2" t="s">
        <v>75</v>
      </c>
      <c r="K1945" s="2" t="s">
        <v>1353</v>
      </c>
      <c r="L1945" s="3">
        <v>0.3923611111111111</v>
      </c>
      <c r="M1945" s="2" t="s">
        <v>518</v>
      </c>
      <c r="N1945" s="2" t="s">
        <v>500</v>
      </c>
      <c r="O1945" s="2"/>
    </row>
    <row r="1946" spans="1:15" x14ac:dyDescent="0.25">
      <c r="A1946" s="2" t="s">
        <v>15</v>
      </c>
      <c r="B1946" s="2" t="str">
        <f>"FES1162769789"</f>
        <v>FES1162769789</v>
      </c>
      <c r="C1946" s="2" t="s">
        <v>1266</v>
      </c>
      <c r="D1946" s="2">
        <v>1</v>
      </c>
      <c r="E1946" s="2" t="str">
        <f>"2170757028"</f>
        <v>2170757028</v>
      </c>
      <c r="F1946" s="2" t="s">
        <v>17</v>
      </c>
      <c r="G1946" s="2" t="s">
        <v>18</v>
      </c>
      <c r="H1946" s="2" t="s">
        <v>33</v>
      </c>
      <c r="I1946" s="2" t="s">
        <v>34</v>
      </c>
      <c r="J1946" s="2" t="s">
        <v>400</v>
      </c>
      <c r="K1946" s="2" t="s">
        <v>1353</v>
      </c>
      <c r="L1946" s="3">
        <v>0.43333333333333335</v>
      </c>
      <c r="M1946" s="2" t="s">
        <v>1499</v>
      </c>
      <c r="N1946" s="2" t="s">
        <v>500</v>
      </c>
      <c r="O1946" s="2"/>
    </row>
    <row r="1947" spans="1:15" x14ac:dyDescent="0.25">
      <c r="A1947" s="2" t="s">
        <v>15</v>
      </c>
      <c r="B1947" s="2" t="str">
        <f>"FES1162769935"</f>
        <v>FES1162769935</v>
      </c>
      <c r="C1947" s="2" t="s">
        <v>1266</v>
      </c>
      <c r="D1947" s="2">
        <v>1</v>
      </c>
      <c r="E1947" s="2" t="str">
        <f>"2170755324"</f>
        <v>2170755324</v>
      </c>
      <c r="F1947" s="2" t="s">
        <v>17</v>
      </c>
      <c r="G1947" s="2" t="s">
        <v>18</v>
      </c>
      <c r="H1947" s="2" t="s">
        <v>36</v>
      </c>
      <c r="I1947" s="2" t="s">
        <v>37</v>
      </c>
      <c r="J1947" s="2" t="s">
        <v>279</v>
      </c>
      <c r="K1947" s="2" t="s">
        <v>1353</v>
      </c>
      <c r="L1947" s="3">
        <v>0.39305555555555555</v>
      </c>
      <c r="M1947" s="2" t="s">
        <v>408</v>
      </c>
      <c r="N1947" s="2" t="s">
        <v>500</v>
      </c>
      <c r="O1947" s="2"/>
    </row>
    <row r="1948" spans="1:15" x14ac:dyDescent="0.25">
      <c r="A1948" s="2" t="s">
        <v>15</v>
      </c>
      <c r="B1948" s="2" t="str">
        <f>"FES31162769471"</f>
        <v>FES31162769471</v>
      </c>
      <c r="C1948" s="2" t="s">
        <v>1266</v>
      </c>
      <c r="D1948" s="2">
        <v>1</v>
      </c>
      <c r="E1948" s="2" t="str">
        <f>"2170754459"</f>
        <v>2170754459</v>
      </c>
      <c r="F1948" s="2" t="s">
        <v>17</v>
      </c>
      <c r="G1948" s="2" t="s">
        <v>18</v>
      </c>
      <c r="H1948" s="2" t="s">
        <v>25</v>
      </c>
      <c r="I1948" s="2" t="s">
        <v>26</v>
      </c>
      <c r="J1948" s="2" t="s">
        <v>94</v>
      </c>
      <c r="K1948" s="2" t="s">
        <v>1353</v>
      </c>
      <c r="L1948" s="3">
        <v>0.41666666666666669</v>
      </c>
      <c r="M1948" s="2" t="s">
        <v>1114</v>
      </c>
      <c r="N1948" s="2" t="s">
        <v>500</v>
      </c>
      <c r="O1948" s="2"/>
    </row>
    <row r="1949" spans="1:15" x14ac:dyDescent="0.25">
      <c r="A1949" s="2" t="s">
        <v>15</v>
      </c>
      <c r="B1949" s="2" t="str">
        <f>"FES1162769703"</f>
        <v>FES1162769703</v>
      </c>
      <c r="C1949" s="2" t="s">
        <v>1266</v>
      </c>
      <c r="D1949" s="2">
        <v>1</v>
      </c>
      <c r="E1949" s="2" t="str">
        <f>"2170756841"</f>
        <v>2170756841</v>
      </c>
      <c r="F1949" s="2" t="s">
        <v>17</v>
      </c>
      <c r="G1949" s="2" t="s">
        <v>18</v>
      </c>
      <c r="H1949" s="2" t="s">
        <v>36</v>
      </c>
      <c r="I1949" s="2" t="s">
        <v>37</v>
      </c>
      <c r="J1949" s="2" t="s">
        <v>1421</v>
      </c>
      <c r="K1949" s="2" t="s">
        <v>1353</v>
      </c>
      <c r="L1949" s="3">
        <v>0.37638888888888888</v>
      </c>
      <c r="M1949" s="2" t="s">
        <v>1522</v>
      </c>
      <c r="N1949" s="2" t="s">
        <v>500</v>
      </c>
      <c r="O1949" s="2"/>
    </row>
    <row r="1950" spans="1:15" x14ac:dyDescent="0.25">
      <c r="A1950" s="2" t="s">
        <v>15</v>
      </c>
      <c r="B1950" s="2" t="str">
        <f>"FES1162769732"</f>
        <v>FES1162769732</v>
      </c>
      <c r="C1950" s="2" t="s">
        <v>1266</v>
      </c>
      <c r="D1950" s="2">
        <v>1</v>
      </c>
      <c r="E1950" s="2" t="str">
        <f>"2170756906"</f>
        <v>2170756906</v>
      </c>
      <c r="F1950" s="2" t="s">
        <v>17</v>
      </c>
      <c r="G1950" s="2" t="s">
        <v>18</v>
      </c>
      <c r="H1950" s="2" t="s">
        <v>33</v>
      </c>
      <c r="I1950" s="2" t="s">
        <v>34</v>
      </c>
      <c r="J1950" s="2" t="s">
        <v>868</v>
      </c>
      <c r="K1950" s="2" t="s">
        <v>1353</v>
      </c>
      <c r="L1950" s="3">
        <v>0.43333333333333335</v>
      </c>
      <c r="M1950" s="2" t="s">
        <v>1372</v>
      </c>
      <c r="N1950" s="2" t="s">
        <v>500</v>
      </c>
      <c r="O1950" s="2"/>
    </row>
    <row r="1951" spans="1:15" x14ac:dyDescent="0.25">
      <c r="A1951" s="2" t="s">
        <v>15</v>
      </c>
      <c r="B1951" s="2" t="str">
        <f>"FES1162769733"</f>
        <v>FES1162769733</v>
      </c>
      <c r="C1951" s="2" t="s">
        <v>1266</v>
      </c>
      <c r="D1951" s="2">
        <v>1</v>
      </c>
      <c r="E1951" s="2" t="str">
        <f>"2170756908"</f>
        <v>2170756908</v>
      </c>
      <c r="F1951" s="2" t="s">
        <v>17</v>
      </c>
      <c r="G1951" s="2" t="s">
        <v>18</v>
      </c>
      <c r="H1951" s="2" t="s">
        <v>36</v>
      </c>
      <c r="I1951" s="2" t="s">
        <v>37</v>
      </c>
      <c r="J1951" s="2" t="s">
        <v>104</v>
      </c>
      <c r="K1951" s="2" t="s">
        <v>1353</v>
      </c>
      <c r="L1951" s="3">
        <v>0.37152777777777773</v>
      </c>
      <c r="M1951" s="2" t="s">
        <v>672</v>
      </c>
      <c r="N1951" s="2" t="s">
        <v>500</v>
      </c>
      <c r="O1951" s="2"/>
    </row>
    <row r="1952" spans="1:15" x14ac:dyDescent="0.25">
      <c r="A1952" s="2" t="s">
        <v>15</v>
      </c>
      <c r="B1952" s="2" t="str">
        <f>"FES1162769452"</f>
        <v>FES1162769452</v>
      </c>
      <c r="C1952" s="2" t="s">
        <v>1266</v>
      </c>
      <c r="D1952" s="2">
        <v>1</v>
      </c>
      <c r="E1952" s="2" t="str">
        <f>"2170752786"</f>
        <v>2170752786</v>
      </c>
      <c r="F1952" s="2" t="s">
        <v>205</v>
      </c>
      <c r="G1952" s="2" t="s">
        <v>206</v>
      </c>
      <c r="H1952" s="2" t="s">
        <v>36</v>
      </c>
      <c r="I1952" s="2" t="s">
        <v>37</v>
      </c>
      <c r="J1952" s="2" t="s">
        <v>162</v>
      </c>
      <c r="K1952" s="2" t="s">
        <v>1506</v>
      </c>
      <c r="L1952" s="3">
        <v>0.34513888888888888</v>
      </c>
      <c r="M1952" s="2" t="s">
        <v>1099</v>
      </c>
      <c r="N1952" s="2" t="s">
        <v>500</v>
      </c>
      <c r="O1952" s="2"/>
    </row>
    <row r="1953" spans="1:15" x14ac:dyDescent="0.25">
      <c r="A1953" s="2" t="s">
        <v>15</v>
      </c>
      <c r="B1953" s="2" t="str">
        <f>"FES1162769718"</f>
        <v>FES1162769718</v>
      </c>
      <c r="C1953" s="2" t="s">
        <v>1266</v>
      </c>
      <c r="D1953" s="2">
        <v>1</v>
      </c>
      <c r="E1953" s="2" t="str">
        <f>"2170756871"</f>
        <v>2170756871</v>
      </c>
      <c r="F1953" s="2" t="s">
        <v>17</v>
      </c>
      <c r="G1953" s="2" t="s">
        <v>18</v>
      </c>
      <c r="H1953" s="2" t="s">
        <v>36</v>
      </c>
      <c r="I1953" s="2" t="s">
        <v>37</v>
      </c>
      <c r="J1953" s="2" t="s">
        <v>272</v>
      </c>
      <c r="K1953" s="2" t="s">
        <v>1353</v>
      </c>
      <c r="L1953" s="3">
        <v>0.39930555555555558</v>
      </c>
      <c r="M1953" s="2" t="s">
        <v>538</v>
      </c>
      <c r="N1953" s="2" t="s">
        <v>500</v>
      </c>
      <c r="O1953" s="2"/>
    </row>
    <row r="1954" spans="1:15" x14ac:dyDescent="0.25">
      <c r="A1954" s="2" t="s">
        <v>15</v>
      </c>
      <c r="B1954" s="2" t="str">
        <f>"FES1162769941"</f>
        <v>FES1162769941</v>
      </c>
      <c r="C1954" s="2" t="s">
        <v>1266</v>
      </c>
      <c r="D1954" s="2">
        <v>1</v>
      </c>
      <c r="E1954" s="2" t="str">
        <f>"2170755386"</f>
        <v>2170755386</v>
      </c>
      <c r="F1954" s="2" t="s">
        <v>17</v>
      </c>
      <c r="G1954" s="2" t="s">
        <v>18</v>
      </c>
      <c r="H1954" s="2" t="s">
        <v>36</v>
      </c>
      <c r="I1954" s="2" t="s">
        <v>37</v>
      </c>
      <c r="J1954" s="2" t="s">
        <v>55</v>
      </c>
      <c r="K1954" s="2" t="s">
        <v>1353</v>
      </c>
      <c r="L1954" s="3">
        <v>0.36805555555555558</v>
      </c>
      <c r="M1954" s="2" t="s">
        <v>1470</v>
      </c>
      <c r="N1954" s="2" t="s">
        <v>500</v>
      </c>
      <c r="O1954" s="2"/>
    </row>
    <row r="1955" spans="1:15" x14ac:dyDescent="0.25">
      <c r="A1955" s="2" t="s">
        <v>15</v>
      </c>
      <c r="B1955" s="2" t="str">
        <f>"FES1162769499"</f>
        <v>FES1162769499</v>
      </c>
      <c r="C1955" s="2" t="s">
        <v>1266</v>
      </c>
      <c r="D1955" s="2">
        <v>1</v>
      </c>
      <c r="E1955" s="2" t="str">
        <f>"2170755044"</f>
        <v>2170755044</v>
      </c>
      <c r="F1955" s="2" t="s">
        <v>17</v>
      </c>
      <c r="G1955" s="2" t="s">
        <v>18</v>
      </c>
      <c r="H1955" s="2" t="s">
        <v>25</v>
      </c>
      <c r="I1955" s="2" t="s">
        <v>345</v>
      </c>
      <c r="J1955" s="2" t="s">
        <v>412</v>
      </c>
      <c r="K1955" s="2" t="s">
        <v>1506</v>
      </c>
      <c r="L1955" s="3">
        <v>0.41666666666666669</v>
      </c>
      <c r="M1955" s="2" t="s">
        <v>1523</v>
      </c>
      <c r="N1955" s="2" t="s">
        <v>500</v>
      </c>
      <c r="O1955" s="2"/>
    </row>
    <row r="1956" spans="1:15" x14ac:dyDescent="0.25">
      <c r="A1956" s="2" t="s">
        <v>15</v>
      </c>
      <c r="B1956" s="2" t="str">
        <f>"FES1162769448"</f>
        <v>FES1162769448</v>
      </c>
      <c r="C1956" s="2" t="s">
        <v>1266</v>
      </c>
      <c r="D1956" s="2">
        <v>1</v>
      </c>
      <c r="E1956" s="2" t="str">
        <f>"2170750588"</f>
        <v>2170750588</v>
      </c>
      <c r="F1956" s="2" t="s">
        <v>17</v>
      </c>
      <c r="G1956" s="2" t="s">
        <v>18</v>
      </c>
      <c r="H1956" s="2" t="s">
        <v>25</v>
      </c>
      <c r="I1956" s="2" t="s">
        <v>26</v>
      </c>
      <c r="J1956" s="2" t="s">
        <v>1422</v>
      </c>
      <c r="K1956" s="2" t="s">
        <v>1353</v>
      </c>
      <c r="L1956" s="3">
        <v>0.47847222222222219</v>
      </c>
      <c r="M1956" s="2" t="s">
        <v>1524</v>
      </c>
      <c r="N1956" s="2" t="s">
        <v>500</v>
      </c>
      <c r="O1956" s="2"/>
    </row>
    <row r="1957" spans="1:15" x14ac:dyDescent="0.25">
      <c r="A1957" s="2" t="s">
        <v>15</v>
      </c>
      <c r="B1957" s="2" t="str">
        <f>"FES1162769814"</f>
        <v>FES1162769814</v>
      </c>
      <c r="C1957" s="2" t="s">
        <v>1266</v>
      </c>
      <c r="D1957" s="2">
        <v>1</v>
      </c>
      <c r="E1957" s="2" t="str">
        <f>"21707071"</f>
        <v>21707071</v>
      </c>
      <c r="F1957" s="2" t="s">
        <v>17</v>
      </c>
      <c r="G1957" s="2" t="s">
        <v>18</v>
      </c>
      <c r="H1957" s="2" t="s">
        <v>88</v>
      </c>
      <c r="I1957" s="2" t="s">
        <v>109</v>
      </c>
      <c r="J1957" s="2" t="s">
        <v>1423</v>
      </c>
      <c r="K1957" s="2" t="s">
        <v>1353</v>
      </c>
      <c r="L1957" s="3">
        <v>0.54722222222222217</v>
      </c>
      <c r="M1957" s="2" t="s">
        <v>240</v>
      </c>
      <c r="N1957" s="2" t="s">
        <v>500</v>
      </c>
      <c r="O1957" s="2"/>
    </row>
    <row r="1958" spans="1:15" x14ac:dyDescent="0.25">
      <c r="A1958" s="2" t="s">
        <v>15</v>
      </c>
      <c r="B1958" s="2" t="str">
        <f>"FES1162769536"</f>
        <v>FES1162769536</v>
      </c>
      <c r="C1958" s="2" t="s">
        <v>1266</v>
      </c>
      <c r="D1958" s="2">
        <v>1</v>
      </c>
      <c r="E1958" s="2" t="str">
        <f>"2170756112"</f>
        <v>2170756112</v>
      </c>
      <c r="F1958" s="2" t="s">
        <v>17</v>
      </c>
      <c r="G1958" s="2" t="s">
        <v>18</v>
      </c>
      <c r="H1958" s="2" t="s">
        <v>18</v>
      </c>
      <c r="I1958" s="2" t="s">
        <v>116</v>
      </c>
      <c r="J1958" s="2" t="s">
        <v>786</v>
      </c>
      <c r="K1958" s="2" t="s">
        <v>1353</v>
      </c>
      <c r="L1958" s="3">
        <v>0.42638888888888887</v>
      </c>
      <c r="M1958" s="2" t="s">
        <v>1517</v>
      </c>
      <c r="N1958" s="2" t="s">
        <v>500</v>
      </c>
      <c r="O1958" s="2"/>
    </row>
    <row r="1959" spans="1:15" x14ac:dyDescent="0.25">
      <c r="A1959" s="2" t="s">
        <v>15</v>
      </c>
      <c r="B1959" s="2" t="str">
        <f>"FES1162769925"</f>
        <v>FES1162769925</v>
      </c>
      <c r="C1959" s="2" t="s">
        <v>1266</v>
      </c>
      <c r="D1959" s="2">
        <v>1</v>
      </c>
      <c r="E1959" s="2" t="str">
        <f>"2170755245"</f>
        <v>2170755245</v>
      </c>
      <c r="F1959" s="2" t="s">
        <v>17</v>
      </c>
      <c r="G1959" s="2" t="s">
        <v>18</v>
      </c>
      <c r="H1959" s="2" t="s">
        <v>18</v>
      </c>
      <c r="I1959" s="2" t="s">
        <v>478</v>
      </c>
      <c r="J1959" s="2" t="s">
        <v>786</v>
      </c>
      <c r="K1959" s="2" t="s">
        <v>1353</v>
      </c>
      <c r="L1959" s="3">
        <v>0.43194444444444446</v>
      </c>
      <c r="M1959" s="2" t="s">
        <v>1525</v>
      </c>
      <c r="N1959" s="2" t="s">
        <v>500</v>
      </c>
      <c r="O1959" s="2"/>
    </row>
    <row r="1960" spans="1:15" x14ac:dyDescent="0.25">
      <c r="A1960" s="2" t="s">
        <v>15</v>
      </c>
      <c r="B1960" s="2" t="str">
        <f>"FES1162769758"</f>
        <v>FES1162769758</v>
      </c>
      <c r="C1960" s="2" t="s">
        <v>1266</v>
      </c>
      <c r="D1960" s="2">
        <v>1</v>
      </c>
      <c r="E1960" s="2" t="str">
        <f>"2170756971"</f>
        <v>2170756971</v>
      </c>
      <c r="F1960" s="2" t="s">
        <v>17</v>
      </c>
      <c r="G1960" s="2" t="s">
        <v>18</v>
      </c>
      <c r="H1960" s="2" t="s">
        <v>33</v>
      </c>
      <c r="I1960" s="2" t="s">
        <v>34</v>
      </c>
      <c r="J1960" s="2" t="s">
        <v>400</v>
      </c>
      <c r="K1960" s="2" t="s">
        <v>1353</v>
      </c>
      <c r="L1960" s="3">
        <v>0.43333333333333335</v>
      </c>
      <c r="M1960" s="2" t="s">
        <v>1499</v>
      </c>
      <c r="N1960" s="2" t="s">
        <v>500</v>
      </c>
      <c r="O1960" s="2"/>
    </row>
    <row r="1961" spans="1:15" x14ac:dyDescent="0.25">
      <c r="A1961" s="2" t="s">
        <v>15</v>
      </c>
      <c r="B1961" s="2" t="str">
        <f>"FES1162769449"</f>
        <v>FES1162769449</v>
      </c>
      <c r="C1961" s="2" t="s">
        <v>1266</v>
      </c>
      <c r="D1961" s="2">
        <v>1</v>
      </c>
      <c r="E1961" s="2" t="str">
        <f>"2170751426"</f>
        <v>2170751426</v>
      </c>
      <c r="F1961" s="2" t="s">
        <v>17</v>
      </c>
      <c r="G1961" s="2" t="s">
        <v>18</v>
      </c>
      <c r="H1961" s="2" t="s">
        <v>36</v>
      </c>
      <c r="I1961" s="2" t="s">
        <v>37</v>
      </c>
      <c r="J1961" s="2" t="s">
        <v>162</v>
      </c>
      <c r="K1961" s="2" t="s">
        <v>1353</v>
      </c>
      <c r="L1961" s="3">
        <v>0.36527777777777781</v>
      </c>
      <c r="M1961" s="2" t="s">
        <v>268</v>
      </c>
      <c r="N1961" s="2" t="s">
        <v>500</v>
      </c>
      <c r="O1961" s="2"/>
    </row>
    <row r="1962" spans="1:15" x14ac:dyDescent="0.25">
      <c r="A1962" s="2" t="s">
        <v>15</v>
      </c>
      <c r="B1962" s="2" t="str">
        <f>"FES1162769538"</f>
        <v>FES1162769538</v>
      </c>
      <c r="C1962" s="2" t="s">
        <v>1266</v>
      </c>
      <c r="D1962" s="2">
        <v>1</v>
      </c>
      <c r="E1962" s="2" t="str">
        <f>"2170756209"</f>
        <v>2170756209</v>
      </c>
      <c r="F1962" s="2" t="s">
        <v>17</v>
      </c>
      <c r="G1962" s="2" t="s">
        <v>18</v>
      </c>
      <c r="H1962" s="2" t="s">
        <v>25</v>
      </c>
      <c r="I1962" s="2" t="s">
        <v>26</v>
      </c>
      <c r="J1962" s="2" t="s">
        <v>757</v>
      </c>
      <c r="K1962" s="2" t="s">
        <v>1353</v>
      </c>
      <c r="L1962" s="3">
        <v>0.34583333333333338</v>
      </c>
      <c r="M1962" s="2" t="s">
        <v>1154</v>
      </c>
      <c r="N1962" s="2" t="s">
        <v>500</v>
      </c>
      <c r="O1962" s="2"/>
    </row>
    <row r="1963" spans="1:15" x14ac:dyDescent="0.25">
      <c r="A1963" s="2" t="s">
        <v>15</v>
      </c>
      <c r="B1963" s="2" t="str">
        <f>"FES1162769453"</f>
        <v>FES1162769453</v>
      </c>
      <c r="C1963" s="2" t="s">
        <v>1266</v>
      </c>
      <c r="D1963" s="2">
        <v>1</v>
      </c>
      <c r="E1963" s="2" t="str">
        <f>"2170752802"</f>
        <v>2170752802</v>
      </c>
      <c r="F1963" s="2" t="s">
        <v>17</v>
      </c>
      <c r="G1963" s="2" t="s">
        <v>18</v>
      </c>
      <c r="H1963" s="2" t="s">
        <v>36</v>
      </c>
      <c r="I1963" s="2" t="s">
        <v>37</v>
      </c>
      <c r="J1963" s="2" t="s">
        <v>162</v>
      </c>
      <c r="K1963" s="2" t="s">
        <v>1353</v>
      </c>
      <c r="L1963" s="3">
        <v>0.36527777777777781</v>
      </c>
      <c r="M1963" s="2" t="s">
        <v>268</v>
      </c>
      <c r="N1963" s="2" t="s">
        <v>500</v>
      </c>
      <c r="O1963" s="2"/>
    </row>
    <row r="1964" spans="1:15" x14ac:dyDescent="0.25">
      <c r="A1964" s="2" t="s">
        <v>15</v>
      </c>
      <c r="B1964" s="2" t="str">
        <f>"FES1162769902"</f>
        <v>FES1162769902</v>
      </c>
      <c r="C1964" s="2" t="s">
        <v>1266</v>
      </c>
      <c r="D1964" s="2">
        <v>1</v>
      </c>
      <c r="E1964" s="2" t="str">
        <f>"2170757203"</f>
        <v>2170757203</v>
      </c>
      <c r="F1964" s="2" t="s">
        <v>17</v>
      </c>
      <c r="G1964" s="2" t="s">
        <v>18</v>
      </c>
      <c r="H1964" s="2" t="s">
        <v>18</v>
      </c>
      <c r="I1964" s="2" t="s">
        <v>57</v>
      </c>
      <c r="J1964" s="2" t="s">
        <v>103</v>
      </c>
      <c r="K1964" s="2" t="s">
        <v>1353</v>
      </c>
      <c r="L1964" s="3">
        <v>0.28819444444444448</v>
      </c>
      <c r="M1964" s="2" t="s">
        <v>220</v>
      </c>
      <c r="N1964" s="2" t="s">
        <v>500</v>
      </c>
      <c r="O1964" s="2"/>
    </row>
    <row r="1965" spans="1:15" x14ac:dyDescent="0.25">
      <c r="A1965" s="2" t="s">
        <v>15</v>
      </c>
      <c r="B1965" s="2" t="str">
        <f>"FES1162769921"</f>
        <v>FES1162769921</v>
      </c>
      <c r="C1965" s="2" t="s">
        <v>1266</v>
      </c>
      <c r="D1965" s="2">
        <v>1</v>
      </c>
      <c r="E1965" s="2" t="str">
        <f>"2170755231"</f>
        <v>2170755231</v>
      </c>
      <c r="F1965" s="2" t="s">
        <v>17</v>
      </c>
      <c r="G1965" s="2" t="s">
        <v>18</v>
      </c>
      <c r="H1965" s="2" t="s">
        <v>33</v>
      </c>
      <c r="I1965" s="2" t="s">
        <v>34</v>
      </c>
      <c r="J1965" s="2" t="s">
        <v>69</v>
      </c>
      <c r="K1965" s="2" t="s">
        <v>1353</v>
      </c>
      <c r="L1965" s="3">
        <v>0.43333333333333335</v>
      </c>
      <c r="M1965" s="2" t="s">
        <v>1526</v>
      </c>
      <c r="N1965" s="2" t="s">
        <v>500</v>
      </c>
      <c r="O1965" s="2"/>
    </row>
    <row r="1966" spans="1:15" x14ac:dyDescent="0.25">
      <c r="A1966" s="2" t="s">
        <v>15</v>
      </c>
      <c r="B1966" s="2" t="str">
        <f>"FES1162769462"</f>
        <v>FES1162769462</v>
      </c>
      <c r="C1966" s="2" t="s">
        <v>1266</v>
      </c>
      <c r="D1966" s="2">
        <v>1</v>
      </c>
      <c r="E1966" s="2" t="str">
        <f>"2170753285"</f>
        <v>2170753285</v>
      </c>
      <c r="F1966" s="2" t="s">
        <v>17</v>
      </c>
      <c r="G1966" s="2" t="s">
        <v>18</v>
      </c>
      <c r="H1966" s="2" t="s">
        <v>36</v>
      </c>
      <c r="I1966" s="2" t="s">
        <v>37</v>
      </c>
      <c r="J1966" s="2" t="s">
        <v>162</v>
      </c>
      <c r="K1966" s="2" t="s">
        <v>1353</v>
      </c>
      <c r="L1966" s="3">
        <v>0.36527777777777781</v>
      </c>
      <c r="M1966" s="2" t="s">
        <v>268</v>
      </c>
      <c r="N1966" s="2" t="s">
        <v>500</v>
      </c>
      <c r="O1966" s="2"/>
    </row>
    <row r="1967" spans="1:15" x14ac:dyDescent="0.25">
      <c r="A1967" s="2" t="s">
        <v>15</v>
      </c>
      <c r="B1967" s="2" t="str">
        <f>"FES1162769451"</f>
        <v>FES1162769451</v>
      </c>
      <c r="C1967" s="2" t="s">
        <v>1266</v>
      </c>
      <c r="D1967" s="2">
        <v>1</v>
      </c>
      <c r="E1967" s="2" t="str">
        <f>"2170752458"</f>
        <v>2170752458</v>
      </c>
      <c r="F1967" s="2" t="s">
        <v>17</v>
      </c>
      <c r="G1967" s="2" t="s">
        <v>18</v>
      </c>
      <c r="H1967" s="2" t="s">
        <v>33</v>
      </c>
      <c r="I1967" s="2" t="s">
        <v>648</v>
      </c>
      <c r="J1967" s="2" t="s">
        <v>649</v>
      </c>
      <c r="K1967" s="2" t="s">
        <v>1506</v>
      </c>
      <c r="L1967" s="3">
        <v>0.41666666666666669</v>
      </c>
      <c r="M1967" s="2" t="s">
        <v>563</v>
      </c>
      <c r="N1967" s="2" t="s">
        <v>500</v>
      </c>
      <c r="O1967" s="2"/>
    </row>
    <row r="1968" spans="1:15" x14ac:dyDescent="0.25">
      <c r="A1968" s="2" t="s">
        <v>15</v>
      </c>
      <c r="B1968" s="2" t="str">
        <f>"FES1162769879"</f>
        <v>FES1162769879</v>
      </c>
      <c r="C1968" s="2" t="s">
        <v>1266</v>
      </c>
      <c r="D1968" s="2">
        <v>1</v>
      </c>
      <c r="E1968" s="2" t="str">
        <f>"2170757002"</f>
        <v>2170757002</v>
      </c>
      <c r="F1968" s="2" t="s">
        <v>17</v>
      </c>
      <c r="G1968" s="2" t="s">
        <v>18</v>
      </c>
      <c r="H1968" s="2" t="s">
        <v>36</v>
      </c>
      <c r="I1968" s="2" t="s">
        <v>67</v>
      </c>
      <c r="J1968" s="2" t="s">
        <v>146</v>
      </c>
      <c r="K1968" s="2" t="s">
        <v>1353</v>
      </c>
      <c r="L1968" s="3">
        <v>0.38541666666666669</v>
      </c>
      <c r="M1968" s="2" t="s">
        <v>1382</v>
      </c>
      <c r="N1968" s="2" t="s">
        <v>500</v>
      </c>
      <c r="O1968" s="2"/>
    </row>
    <row r="1969" spans="1:15" x14ac:dyDescent="0.25">
      <c r="A1969" s="2" t="s">
        <v>15</v>
      </c>
      <c r="B1969" s="2" t="str">
        <f>"FES1162769455"</f>
        <v>FES1162769455</v>
      </c>
      <c r="C1969" s="2" t="s">
        <v>1266</v>
      </c>
      <c r="D1969" s="2">
        <v>1</v>
      </c>
      <c r="E1969" s="2" t="str">
        <f>"2170752857"</f>
        <v>2170752857</v>
      </c>
      <c r="F1969" s="2" t="s">
        <v>17</v>
      </c>
      <c r="G1969" s="2" t="s">
        <v>18</v>
      </c>
      <c r="H1969" s="2" t="s">
        <v>36</v>
      </c>
      <c r="I1969" s="2" t="s">
        <v>37</v>
      </c>
      <c r="J1969" s="2" t="s">
        <v>162</v>
      </c>
      <c r="K1969" s="2" t="s">
        <v>1353</v>
      </c>
      <c r="L1969" s="3">
        <v>0.36527777777777781</v>
      </c>
      <c r="M1969" s="2" t="s">
        <v>268</v>
      </c>
      <c r="N1969" s="2" t="s">
        <v>500</v>
      </c>
      <c r="O1969" s="2"/>
    </row>
    <row r="1970" spans="1:15" x14ac:dyDescent="0.25">
      <c r="A1970" s="2" t="s">
        <v>15</v>
      </c>
      <c r="B1970" s="2" t="str">
        <f>"FES1162769802"</f>
        <v>FES1162769802</v>
      </c>
      <c r="C1970" s="2" t="s">
        <v>1266</v>
      </c>
      <c r="D1970" s="2">
        <v>1</v>
      </c>
      <c r="E1970" s="2" t="str">
        <f>"2170757051"</f>
        <v>2170757051</v>
      </c>
      <c r="F1970" s="2" t="s">
        <v>17</v>
      </c>
      <c r="G1970" s="2" t="s">
        <v>18</v>
      </c>
      <c r="H1970" s="2" t="s">
        <v>18</v>
      </c>
      <c r="I1970" s="2" t="s">
        <v>46</v>
      </c>
      <c r="J1970" s="2" t="s">
        <v>59</v>
      </c>
      <c r="K1970" s="2" t="s">
        <v>1353</v>
      </c>
      <c r="L1970" s="3">
        <v>0.4375</v>
      </c>
      <c r="M1970" s="2" t="s">
        <v>559</v>
      </c>
      <c r="N1970" s="2" t="s">
        <v>500</v>
      </c>
      <c r="O1970" s="2"/>
    </row>
    <row r="1971" spans="1:15" x14ac:dyDescent="0.25">
      <c r="A1971" s="2" t="s">
        <v>15</v>
      </c>
      <c r="B1971" s="2" t="str">
        <f>"FES1162769669"</f>
        <v>FES1162769669</v>
      </c>
      <c r="C1971" s="2" t="s">
        <v>1266</v>
      </c>
      <c r="D1971" s="2">
        <v>1</v>
      </c>
      <c r="E1971" s="2" t="str">
        <f>"2170756773"</f>
        <v>2170756773</v>
      </c>
      <c r="F1971" s="2" t="s">
        <v>17</v>
      </c>
      <c r="G1971" s="2" t="s">
        <v>18</v>
      </c>
      <c r="H1971" s="2" t="s">
        <v>18</v>
      </c>
      <c r="I1971" s="2" t="s">
        <v>50</v>
      </c>
      <c r="J1971" s="2" t="s">
        <v>285</v>
      </c>
      <c r="K1971" s="2" t="s">
        <v>1353</v>
      </c>
      <c r="L1971" s="3">
        <v>0.33333333333333331</v>
      </c>
      <c r="M1971" s="2" t="s">
        <v>808</v>
      </c>
      <c r="N1971" s="2" t="s">
        <v>500</v>
      </c>
      <c r="O1971" s="2"/>
    </row>
    <row r="1972" spans="1:15" x14ac:dyDescent="0.25">
      <c r="A1972" s="2" t="s">
        <v>15</v>
      </c>
      <c r="B1972" s="2" t="str">
        <f>"FES1162769934"</f>
        <v>FES1162769934</v>
      </c>
      <c r="C1972" s="2" t="s">
        <v>1266</v>
      </c>
      <c r="D1972" s="2">
        <v>1</v>
      </c>
      <c r="E1972" s="2" t="str">
        <f>"2170755321"</f>
        <v>2170755321</v>
      </c>
      <c r="F1972" s="2" t="s">
        <v>17</v>
      </c>
      <c r="G1972" s="2" t="s">
        <v>18</v>
      </c>
      <c r="H1972" s="2" t="s">
        <v>18</v>
      </c>
      <c r="I1972" s="2" t="s">
        <v>63</v>
      </c>
      <c r="J1972" s="2" t="s">
        <v>421</v>
      </c>
      <c r="K1972" s="2" t="s">
        <v>1353</v>
      </c>
      <c r="L1972" s="3">
        <v>0.35138888888888892</v>
      </c>
      <c r="M1972" s="2" t="s">
        <v>525</v>
      </c>
      <c r="N1972" s="2" t="s">
        <v>500</v>
      </c>
      <c r="O1972" s="2"/>
    </row>
    <row r="1973" spans="1:15" x14ac:dyDescent="0.25">
      <c r="A1973" s="2" t="s">
        <v>15</v>
      </c>
      <c r="B1973" s="2" t="str">
        <f>"FES1162769572"</f>
        <v>FES1162769572</v>
      </c>
      <c r="C1973" s="2" t="s">
        <v>1266</v>
      </c>
      <c r="D1973" s="2">
        <v>1</v>
      </c>
      <c r="E1973" s="2" t="str">
        <f>"2170756604"</f>
        <v>2170756604</v>
      </c>
      <c r="F1973" s="2" t="s">
        <v>17</v>
      </c>
      <c r="G1973" s="2" t="s">
        <v>18</v>
      </c>
      <c r="H1973" s="2" t="s">
        <v>18</v>
      </c>
      <c r="I1973" s="2" t="s">
        <v>429</v>
      </c>
      <c r="J1973" s="2" t="s">
        <v>789</v>
      </c>
      <c r="K1973" s="2" t="s">
        <v>1353</v>
      </c>
      <c r="L1973" s="3">
        <v>0.375</v>
      </c>
      <c r="M1973" s="2" t="s">
        <v>1527</v>
      </c>
      <c r="N1973" s="2" t="s">
        <v>500</v>
      </c>
      <c r="O1973" s="2"/>
    </row>
    <row r="1974" spans="1:15" x14ac:dyDescent="0.25">
      <c r="A1974" s="2" t="s">
        <v>15</v>
      </c>
      <c r="B1974" s="2" t="str">
        <f>"FES1162769489"</f>
        <v>FES1162769489</v>
      </c>
      <c r="C1974" s="2" t="s">
        <v>1266</v>
      </c>
      <c r="D1974" s="2">
        <v>1</v>
      </c>
      <c r="E1974" s="2" t="str">
        <f>"2170754828"</f>
        <v>2170754828</v>
      </c>
      <c r="F1974" s="2" t="s">
        <v>17</v>
      </c>
      <c r="G1974" s="2" t="s">
        <v>18</v>
      </c>
      <c r="H1974" s="2" t="s">
        <v>25</v>
      </c>
      <c r="I1974" s="2" t="s">
        <v>26</v>
      </c>
      <c r="J1974" s="2" t="s">
        <v>353</v>
      </c>
      <c r="K1974" s="2" t="s">
        <v>1353</v>
      </c>
      <c r="L1974" s="3">
        <v>0.41666666666666669</v>
      </c>
      <c r="M1974" s="2" t="s">
        <v>1360</v>
      </c>
      <c r="N1974" s="2" t="s">
        <v>500</v>
      </c>
      <c r="O1974" s="2"/>
    </row>
    <row r="1975" spans="1:15" x14ac:dyDescent="0.25">
      <c r="A1975" s="2" t="s">
        <v>15</v>
      </c>
      <c r="B1975" s="2" t="str">
        <f>"FES1162769463"</f>
        <v>FES1162769463</v>
      </c>
      <c r="C1975" s="2" t="s">
        <v>1266</v>
      </c>
      <c r="D1975" s="2">
        <v>1</v>
      </c>
      <c r="E1975" s="2" t="str">
        <f>"2170753307"</f>
        <v>2170753307</v>
      </c>
      <c r="F1975" s="2" t="s">
        <v>17</v>
      </c>
      <c r="G1975" s="2" t="s">
        <v>18</v>
      </c>
      <c r="H1975" s="2" t="s">
        <v>36</v>
      </c>
      <c r="I1975" s="2" t="s">
        <v>37</v>
      </c>
      <c r="J1975" s="2" t="s">
        <v>162</v>
      </c>
      <c r="K1975" s="2" t="s">
        <v>1353</v>
      </c>
      <c r="L1975" s="3">
        <v>0.36527777777777781</v>
      </c>
      <c r="M1975" s="2" t="s">
        <v>268</v>
      </c>
      <c r="N1975" s="2" t="s">
        <v>500</v>
      </c>
      <c r="O1975" s="2"/>
    </row>
    <row r="1976" spans="1:15" x14ac:dyDescent="0.25">
      <c r="A1976" s="2" t="s">
        <v>15</v>
      </c>
      <c r="B1976" s="2" t="str">
        <f>"FES1162770067"</f>
        <v>FES1162770067</v>
      </c>
      <c r="C1976" s="2" t="s">
        <v>1266</v>
      </c>
      <c r="D1976" s="2">
        <v>1</v>
      </c>
      <c r="E1976" s="2" t="str">
        <f>"2170757302"</f>
        <v>2170757302</v>
      </c>
      <c r="F1976" s="2" t="s">
        <v>17</v>
      </c>
      <c r="G1976" s="2" t="s">
        <v>18</v>
      </c>
      <c r="H1976" s="2" t="s">
        <v>88</v>
      </c>
      <c r="I1976" s="2" t="s">
        <v>109</v>
      </c>
      <c r="J1976" s="2" t="s">
        <v>1424</v>
      </c>
      <c r="K1976" s="2" t="s">
        <v>1353</v>
      </c>
      <c r="L1976" s="3">
        <v>0.46875</v>
      </c>
      <c r="M1976" s="2" t="s">
        <v>1479</v>
      </c>
      <c r="N1976" s="2" t="s">
        <v>500</v>
      </c>
      <c r="O1976" s="2"/>
    </row>
    <row r="1977" spans="1:15" x14ac:dyDescent="0.25">
      <c r="A1977" s="2" t="s">
        <v>15</v>
      </c>
      <c r="B1977" s="2" t="str">
        <f>"FES1162769469"</f>
        <v>FES1162769469</v>
      </c>
      <c r="C1977" s="2" t="s">
        <v>1266</v>
      </c>
      <c r="D1977" s="2">
        <v>1</v>
      </c>
      <c r="E1977" s="2" t="str">
        <f>"2170754329"</f>
        <v>2170754329</v>
      </c>
      <c r="F1977" s="2" t="s">
        <v>17</v>
      </c>
      <c r="G1977" s="2" t="s">
        <v>18</v>
      </c>
      <c r="H1977" s="2" t="s">
        <v>18</v>
      </c>
      <c r="I1977" s="2" t="s">
        <v>46</v>
      </c>
      <c r="J1977" s="2" t="s">
        <v>115</v>
      </c>
      <c r="K1977" s="2" t="s">
        <v>1353</v>
      </c>
      <c r="L1977" s="3">
        <v>0.32500000000000001</v>
      </c>
      <c r="M1977" s="2" t="s">
        <v>829</v>
      </c>
      <c r="N1977" s="2" t="s">
        <v>500</v>
      </c>
      <c r="O1977" s="2"/>
    </row>
    <row r="1978" spans="1:15" x14ac:dyDescent="0.25">
      <c r="A1978" s="2" t="s">
        <v>15</v>
      </c>
      <c r="B1978" s="2" t="str">
        <f>"FES1162769523"</f>
        <v>FES1162769523</v>
      </c>
      <c r="C1978" s="2" t="s">
        <v>1266</v>
      </c>
      <c r="D1978" s="2">
        <v>1</v>
      </c>
      <c r="E1978" s="2" t="str">
        <f>"2170755711"</f>
        <v>2170755711</v>
      </c>
      <c r="F1978" s="2" t="s">
        <v>17</v>
      </c>
      <c r="G1978" s="2" t="s">
        <v>18</v>
      </c>
      <c r="H1978" s="2" t="s">
        <v>36</v>
      </c>
      <c r="I1978" s="2" t="s">
        <v>37</v>
      </c>
      <c r="J1978" s="2" t="s">
        <v>55</v>
      </c>
      <c r="K1978" s="2" t="s">
        <v>1353</v>
      </c>
      <c r="L1978" s="3">
        <v>0.36805555555555558</v>
      </c>
      <c r="M1978" s="2" t="s">
        <v>1470</v>
      </c>
      <c r="N1978" s="2" t="s">
        <v>500</v>
      </c>
      <c r="O1978" s="2"/>
    </row>
    <row r="1979" spans="1:15" x14ac:dyDescent="0.25">
      <c r="A1979" s="2" t="s">
        <v>15</v>
      </c>
      <c r="B1979" s="2" t="str">
        <f>"FES1162769695"</f>
        <v>FES1162769695</v>
      </c>
      <c r="C1979" s="2" t="s">
        <v>1266</v>
      </c>
      <c r="D1979" s="2">
        <v>1</v>
      </c>
      <c r="E1979" s="2" t="str">
        <f>"2170756826"</f>
        <v>2170756826</v>
      </c>
      <c r="F1979" s="2" t="s">
        <v>17</v>
      </c>
      <c r="G1979" s="2" t="s">
        <v>18</v>
      </c>
      <c r="H1979" s="2" t="s">
        <v>36</v>
      </c>
      <c r="I1979" s="2" t="s">
        <v>37</v>
      </c>
      <c r="J1979" s="2" t="s">
        <v>104</v>
      </c>
      <c r="K1979" s="2" t="s">
        <v>1353</v>
      </c>
      <c r="L1979" s="3">
        <v>0.37152777777777773</v>
      </c>
      <c r="M1979" s="2" t="s">
        <v>672</v>
      </c>
      <c r="N1979" s="2" t="s">
        <v>500</v>
      </c>
      <c r="O1979" s="2"/>
    </row>
    <row r="1980" spans="1:15" x14ac:dyDescent="0.25">
      <c r="A1980" s="2" t="s">
        <v>15</v>
      </c>
      <c r="B1980" s="2" t="str">
        <f>"FES1162767055"</f>
        <v>FES1162767055</v>
      </c>
      <c r="C1980" s="2" t="s">
        <v>1266</v>
      </c>
      <c r="D1980" s="2">
        <v>1</v>
      </c>
      <c r="E1980" s="2" t="str">
        <f>"2170752607"</f>
        <v>2170752607</v>
      </c>
      <c r="F1980" s="2" t="s">
        <v>17</v>
      </c>
      <c r="G1980" s="2" t="s">
        <v>18</v>
      </c>
      <c r="H1980" s="2" t="s">
        <v>18</v>
      </c>
      <c r="I1980" s="2" t="s">
        <v>63</v>
      </c>
      <c r="J1980" s="2" t="s">
        <v>1425</v>
      </c>
      <c r="K1980" s="2" t="s">
        <v>1353</v>
      </c>
      <c r="L1980" s="3">
        <v>0.4375</v>
      </c>
      <c r="M1980" s="2" t="s">
        <v>1528</v>
      </c>
      <c r="N1980" s="2" t="s">
        <v>500</v>
      </c>
      <c r="O1980" s="2"/>
    </row>
    <row r="1981" spans="1:15" x14ac:dyDescent="0.25">
      <c r="A1981" s="2" t="s">
        <v>15</v>
      </c>
      <c r="B1981" s="2" t="str">
        <f>"FES1162769757"</f>
        <v>FES1162769757</v>
      </c>
      <c r="C1981" s="2" t="s">
        <v>1266</v>
      </c>
      <c r="D1981" s="2">
        <v>1</v>
      </c>
      <c r="E1981" s="2" t="str">
        <f>"2170756970"</f>
        <v>2170756970</v>
      </c>
      <c r="F1981" s="2" t="s">
        <v>17</v>
      </c>
      <c r="G1981" s="2" t="s">
        <v>18</v>
      </c>
      <c r="H1981" s="2" t="s">
        <v>36</v>
      </c>
      <c r="I1981" s="2" t="s">
        <v>67</v>
      </c>
      <c r="J1981" s="2" t="s">
        <v>146</v>
      </c>
      <c r="K1981" s="2" t="s">
        <v>1353</v>
      </c>
      <c r="L1981" s="3">
        <v>0.38611111111111113</v>
      </c>
      <c r="M1981" s="2" t="s">
        <v>1529</v>
      </c>
      <c r="N1981" s="2" t="s">
        <v>500</v>
      </c>
      <c r="O1981" s="2"/>
    </row>
    <row r="1982" spans="1:15" x14ac:dyDescent="0.25">
      <c r="A1982" s="2" t="s">
        <v>15</v>
      </c>
      <c r="B1982" s="2" t="str">
        <f>"FES1162769823"</f>
        <v>FES1162769823</v>
      </c>
      <c r="C1982" s="2" t="s">
        <v>1266</v>
      </c>
      <c r="D1982" s="2">
        <v>1</v>
      </c>
      <c r="E1982" s="2" t="str">
        <f>"2170757081"</f>
        <v>2170757081</v>
      </c>
      <c r="F1982" s="2" t="s">
        <v>17</v>
      </c>
      <c r="G1982" s="2" t="s">
        <v>18</v>
      </c>
      <c r="H1982" s="2" t="s">
        <v>36</v>
      </c>
      <c r="I1982" s="2" t="s">
        <v>496</v>
      </c>
      <c r="J1982" s="2" t="s">
        <v>497</v>
      </c>
      <c r="K1982" s="2" t="s">
        <v>1353</v>
      </c>
      <c r="L1982" s="3">
        <v>0.67708333333333337</v>
      </c>
      <c r="M1982" s="2" t="s">
        <v>726</v>
      </c>
      <c r="N1982" s="2" t="s">
        <v>500</v>
      </c>
      <c r="O1982" s="2"/>
    </row>
    <row r="1983" spans="1:15" x14ac:dyDescent="0.25">
      <c r="A1983" s="2" t="s">
        <v>15</v>
      </c>
      <c r="B1983" s="2" t="str">
        <f>"FES1162769751"</f>
        <v>FES1162769751</v>
      </c>
      <c r="C1983" s="2" t="s">
        <v>1266</v>
      </c>
      <c r="D1983" s="2">
        <v>1</v>
      </c>
      <c r="E1983" s="2" t="str">
        <f>"2170756961"</f>
        <v>2170756961</v>
      </c>
      <c r="F1983" s="2" t="s">
        <v>17</v>
      </c>
      <c r="G1983" s="2" t="s">
        <v>18</v>
      </c>
      <c r="H1983" s="2" t="s">
        <v>33</v>
      </c>
      <c r="I1983" s="2" t="s">
        <v>34</v>
      </c>
      <c r="J1983" s="2" t="s">
        <v>400</v>
      </c>
      <c r="K1983" s="2" t="s">
        <v>1353</v>
      </c>
      <c r="L1983" s="3">
        <v>0.43333333333333335</v>
      </c>
      <c r="M1983" s="2" t="s">
        <v>1499</v>
      </c>
      <c r="N1983" s="2" t="s">
        <v>500</v>
      </c>
      <c r="O1983" s="2"/>
    </row>
    <row r="1984" spans="1:15" x14ac:dyDescent="0.25">
      <c r="A1984" s="2" t="s">
        <v>15</v>
      </c>
      <c r="B1984" s="2" t="str">
        <f>"FES1162769810"</f>
        <v>FES1162769810</v>
      </c>
      <c r="C1984" s="2" t="s">
        <v>1266</v>
      </c>
      <c r="D1984" s="2">
        <v>1</v>
      </c>
      <c r="E1984" s="2" t="str">
        <f>"2170757062"</f>
        <v>2170757062</v>
      </c>
      <c r="F1984" s="2" t="s">
        <v>17</v>
      </c>
      <c r="G1984" s="2" t="s">
        <v>18</v>
      </c>
      <c r="H1984" s="2" t="s">
        <v>36</v>
      </c>
      <c r="I1984" s="2" t="s">
        <v>373</v>
      </c>
      <c r="J1984" s="2" t="s">
        <v>374</v>
      </c>
      <c r="K1984" s="2" t="s">
        <v>1353</v>
      </c>
      <c r="L1984" s="3">
        <v>0.58333333333333337</v>
      </c>
      <c r="M1984" s="2" t="s">
        <v>375</v>
      </c>
      <c r="N1984" s="2" t="s">
        <v>500</v>
      </c>
      <c r="O1984" s="2"/>
    </row>
    <row r="1985" spans="1:15" x14ac:dyDescent="0.25">
      <c r="A1985" s="2" t="s">
        <v>15</v>
      </c>
      <c r="B1985" s="2" t="str">
        <f>"FES1162767653"</f>
        <v>FES1162767653</v>
      </c>
      <c r="C1985" s="2" t="s">
        <v>1266</v>
      </c>
      <c r="D1985" s="2">
        <v>1</v>
      </c>
      <c r="E1985" s="2" t="str">
        <f>"2170755494"</f>
        <v>2170755494</v>
      </c>
      <c r="F1985" s="2" t="s">
        <v>17</v>
      </c>
      <c r="G1985" s="2" t="s">
        <v>18</v>
      </c>
      <c r="H1985" s="2" t="s">
        <v>18</v>
      </c>
      <c r="I1985" s="2" t="s">
        <v>46</v>
      </c>
      <c r="J1985" s="2" t="s">
        <v>168</v>
      </c>
      <c r="K1985" s="2" t="s">
        <v>1353</v>
      </c>
      <c r="L1985" s="3">
        <v>0.40277777777777773</v>
      </c>
      <c r="M1985" s="2" t="s">
        <v>1478</v>
      </c>
      <c r="N1985" s="2" t="s">
        <v>500</v>
      </c>
      <c r="O1985" s="2"/>
    </row>
    <row r="1986" spans="1:15" x14ac:dyDescent="0.25">
      <c r="A1986" s="2" t="s">
        <v>15</v>
      </c>
      <c r="B1986" s="2" t="str">
        <f>"FES1162769697"</f>
        <v>FES1162769697</v>
      </c>
      <c r="C1986" s="2" t="s">
        <v>1266</v>
      </c>
      <c r="D1986" s="2">
        <v>2</v>
      </c>
      <c r="E1986" s="2" t="str">
        <f>"2170756833"</f>
        <v>2170756833</v>
      </c>
      <c r="F1986" s="2" t="s">
        <v>205</v>
      </c>
      <c r="G1986" s="2" t="s">
        <v>206</v>
      </c>
      <c r="H1986" s="2" t="s">
        <v>206</v>
      </c>
      <c r="I1986" s="2" t="s">
        <v>46</v>
      </c>
      <c r="J1986" s="2" t="s">
        <v>426</v>
      </c>
      <c r="K1986" s="2" t="s">
        <v>1353</v>
      </c>
      <c r="L1986" s="3">
        <v>0.36180555555555555</v>
      </c>
      <c r="M1986" s="2" t="s">
        <v>531</v>
      </c>
      <c r="N1986" s="2" t="s">
        <v>500</v>
      </c>
      <c r="O1986" s="2"/>
    </row>
    <row r="1987" spans="1:15" x14ac:dyDescent="0.25">
      <c r="A1987" s="2" t="s">
        <v>15</v>
      </c>
      <c r="B1987" s="2" t="str">
        <f>"FES1162770091"</f>
        <v>FES1162770091</v>
      </c>
      <c r="C1987" s="2" t="s">
        <v>1266</v>
      </c>
      <c r="D1987" s="2">
        <v>1</v>
      </c>
      <c r="E1987" s="2" t="str">
        <f>"2170757333"</f>
        <v>2170757333</v>
      </c>
      <c r="F1987" s="2" t="s">
        <v>17</v>
      </c>
      <c r="G1987" s="2" t="s">
        <v>18</v>
      </c>
      <c r="H1987" s="2" t="s">
        <v>18</v>
      </c>
      <c r="I1987" s="2" t="s">
        <v>63</v>
      </c>
      <c r="J1987" s="2" t="s">
        <v>1287</v>
      </c>
      <c r="K1987" s="2" t="s">
        <v>1353</v>
      </c>
      <c r="L1987" s="3">
        <v>0.375</v>
      </c>
      <c r="M1987" s="2" t="s">
        <v>1339</v>
      </c>
      <c r="N1987" s="2" t="s">
        <v>500</v>
      </c>
      <c r="O1987" s="2"/>
    </row>
    <row r="1988" spans="1:15" x14ac:dyDescent="0.25">
      <c r="A1988" s="2" t="s">
        <v>15</v>
      </c>
      <c r="B1988" s="2" t="str">
        <f>"FES1162770094"</f>
        <v>FES1162770094</v>
      </c>
      <c r="C1988" s="2" t="s">
        <v>1266</v>
      </c>
      <c r="D1988" s="2">
        <v>1</v>
      </c>
      <c r="E1988" s="2" t="str">
        <f>"2170757342"</f>
        <v>2170757342</v>
      </c>
      <c r="F1988" s="2" t="s">
        <v>17</v>
      </c>
      <c r="G1988" s="2" t="s">
        <v>18</v>
      </c>
      <c r="H1988" s="2" t="s">
        <v>18</v>
      </c>
      <c r="I1988" s="2" t="s">
        <v>116</v>
      </c>
      <c r="J1988" s="2" t="s">
        <v>1426</v>
      </c>
      <c r="K1988" s="2" t="s">
        <v>1353</v>
      </c>
      <c r="L1988" s="3">
        <v>0.42708333333333331</v>
      </c>
      <c r="M1988" s="2" t="s">
        <v>1530</v>
      </c>
      <c r="N1988" s="2" t="s">
        <v>500</v>
      </c>
      <c r="O1988" s="2"/>
    </row>
    <row r="1989" spans="1:15" x14ac:dyDescent="0.25">
      <c r="A1989" s="2" t="s">
        <v>15</v>
      </c>
      <c r="B1989" s="2" t="str">
        <f>"FES1162769569"</f>
        <v>FES1162769569</v>
      </c>
      <c r="C1989" s="2" t="s">
        <v>1266</v>
      </c>
      <c r="D1989" s="2">
        <v>1</v>
      </c>
      <c r="E1989" s="2" t="str">
        <f>"2170756596"</f>
        <v>2170756596</v>
      </c>
      <c r="F1989" s="2" t="s">
        <v>17</v>
      </c>
      <c r="G1989" s="2" t="s">
        <v>18</v>
      </c>
      <c r="H1989" s="2" t="s">
        <v>18</v>
      </c>
      <c r="I1989" s="2" t="s">
        <v>57</v>
      </c>
      <c r="J1989" s="2" t="s">
        <v>91</v>
      </c>
      <c r="K1989" s="2" t="s">
        <v>1353</v>
      </c>
      <c r="L1989" s="3">
        <v>0.29375000000000001</v>
      </c>
      <c r="M1989" s="2" t="s">
        <v>1531</v>
      </c>
      <c r="N1989" s="2" t="s">
        <v>500</v>
      </c>
      <c r="O1989" s="2"/>
    </row>
    <row r="1990" spans="1:15" x14ac:dyDescent="0.25">
      <c r="A1990" s="2" t="s">
        <v>15</v>
      </c>
      <c r="B1990" s="2" t="str">
        <f>"FES1162769981"</f>
        <v>FES1162769981</v>
      </c>
      <c r="C1990" s="2" t="s">
        <v>1266</v>
      </c>
      <c r="D1990" s="2">
        <v>1</v>
      </c>
      <c r="E1990" s="2" t="str">
        <f>"2170755928"</f>
        <v>2170755928</v>
      </c>
      <c r="F1990" s="2" t="s">
        <v>17</v>
      </c>
      <c r="G1990" s="2" t="s">
        <v>18</v>
      </c>
      <c r="H1990" s="2" t="s">
        <v>18</v>
      </c>
      <c r="I1990" s="2" t="s">
        <v>46</v>
      </c>
      <c r="J1990" s="2" t="s">
        <v>426</v>
      </c>
      <c r="K1990" s="2" t="s">
        <v>1353</v>
      </c>
      <c r="L1990" s="3">
        <v>0.36180555555555555</v>
      </c>
      <c r="M1990" s="2" t="s">
        <v>531</v>
      </c>
      <c r="N1990" s="2" t="s">
        <v>500</v>
      </c>
      <c r="O1990" s="2"/>
    </row>
    <row r="1991" spans="1:15" x14ac:dyDescent="0.25">
      <c r="A1991" s="2" t="s">
        <v>15</v>
      </c>
      <c r="B1991" s="2" t="str">
        <f>"FES1162769901"</f>
        <v>FES1162769901</v>
      </c>
      <c r="C1991" s="2" t="s">
        <v>1266</v>
      </c>
      <c r="D1991" s="2">
        <v>1</v>
      </c>
      <c r="E1991" s="2" t="str">
        <f>"2170756634"</f>
        <v>2170756634</v>
      </c>
      <c r="F1991" s="2" t="s">
        <v>17</v>
      </c>
      <c r="G1991" s="2" t="s">
        <v>18</v>
      </c>
      <c r="H1991" s="2" t="s">
        <v>18</v>
      </c>
      <c r="I1991" s="2" t="s">
        <v>57</v>
      </c>
      <c r="J1991" s="2" t="s">
        <v>103</v>
      </c>
      <c r="K1991" s="2" t="s">
        <v>1353</v>
      </c>
      <c r="L1991" s="3">
        <v>0.28819444444444448</v>
      </c>
      <c r="M1991" s="2" t="s">
        <v>220</v>
      </c>
      <c r="N1991" s="2" t="s">
        <v>500</v>
      </c>
      <c r="O1991" s="2"/>
    </row>
    <row r="1992" spans="1:15" x14ac:dyDescent="0.25">
      <c r="A1992" s="2" t="s">
        <v>15</v>
      </c>
      <c r="B1992" s="2" t="str">
        <f>"FES1162767983"</f>
        <v>FES1162767983</v>
      </c>
      <c r="C1992" s="2" t="s">
        <v>1266</v>
      </c>
      <c r="D1992" s="2">
        <v>1</v>
      </c>
      <c r="E1992" s="2" t="str">
        <f>"2170755930"</f>
        <v>2170755930</v>
      </c>
      <c r="F1992" s="2" t="s">
        <v>17</v>
      </c>
      <c r="G1992" s="2" t="s">
        <v>18</v>
      </c>
      <c r="H1992" s="2" t="s">
        <v>18</v>
      </c>
      <c r="I1992" s="2" t="s">
        <v>46</v>
      </c>
      <c r="J1992" s="2" t="s">
        <v>168</v>
      </c>
      <c r="K1992" s="2" t="s">
        <v>1353</v>
      </c>
      <c r="L1992" s="3">
        <v>0.40277777777777773</v>
      </c>
      <c r="M1992" s="2" t="s">
        <v>1478</v>
      </c>
      <c r="N1992" s="2" t="s">
        <v>500</v>
      </c>
      <c r="O1992" s="2"/>
    </row>
    <row r="1993" spans="1:15" x14ac:dyDescent="0.25">
      <c r="A1993" s="2" t="s">
        <v>15</v>
      </c>
      <c r="B1993" s="2" t="str">
        <f>"FES1162770126"</f>
        <v>FES1162770126</v>
      </c>
      <c r="C1993" s="2" t="s">
        <v>1266</v>
      </c>
      <c r="D1993" s="2">
        <v>1</v>
      </c>
      <c r="E1993" s="2" t="str">
        <f>"2170757358"</f>
        <v>2170757358</v>
      </c>
      <c r="F1993" s="2" t="s">
        <v>17</v>
      </c>
      <c r="G1993" s="2" t="s">
        <v>18</v>
      </c>
      <c r="H1993" s="2" t="s">
        <v>18</v>
      </c>
      <c r="I1993" s="2" t="s">
        <v>290</v>
      </c>
      <c r="J1993" s="2" t="s">
        <v>492</v>
      </c>
      <c r="K1993" s="2" t="s">
        <v>1353</v>
      </c>
      <c r="L1993" s="3">
        <v>0.33333333333333331</v>
      </c>
      <c r="M1993" s="2" t="s">
        <v>1532</v>
      </c>
      <c r="N1993" s="2" t="s">
        <v>500</v>
      </c>
      <c r="O1993" s="2"/>
    </row>
    <row r="1994" spans="1:15" x14ac:dyDescent="0.25">
      <c r="A1994" s="2" t="s">
        <v>15</v>
      </c>
      <c r="B1994" s="2" t="str">
        <f>"FES1162770133"</f>
        <v>FES1162770133</v>
      </c>
      <c r="C1994" s="2" t="s">
        <v>1266</v>
      </c>
      <c r="D1994" s="2">
        <v>1</v>
      </c>
      <c r="E1994" s="2" t="str">
        <f>"2170753904"</f>
        <v>2170753904</v>
      </c>
      <c r="F1994" s="2" t="s">
        <v>17</v>
      </c>
      <c r="G1994" s="2" t="s">
        <v>18</v>
      </c>
      <c r="H1994" s="2" t="s">
        <v>25</v>
      </c>
      <c r="I1994" s="2" t="s">
        <v>39</v>
      </c>
      <c r="J1994" s="2" t="s">
        <v>161</v>
      </c>
      <c r="K1994" s="2" t="s">
        <v>1353</v>
      </c>
      <c r="L1994" s="3">
        <v>0.50208333333333333</v>
      </c>
      <c r="M1994" s="2" t="s">
        <v>977</v>
      </c>
      <c r="N1994" s="2" t="s">
        <v>500</v>
      </c>
      <c r="O1994" s="2"/>
    </row>
    <row r="1995" spans="1:15" x14ac:dyDescent="0.25">
      <c r="A1995" s="2" t="s">
        <v>15</v>
      </c>
      <c r="B1995" s="2" t="str">
        <f>"FES1162769465"</f>
        <v>FES1162769465</v>
      </c>
      <c r="C1995" s="2" t="s">
        <v>1266</v>
      </c>
      <c r="D1995" s="2">
        <v>1</v>
      </c>
      <c r="E1995" s="2" t="str">
        <f>"2170753493"</f>
        <v>2170753493</v>
      </c>
      <c r="F1995" s="2" t="s">
        <v>17</v>
      </c>
      <c r="G1995" s="2" t="s">
        <v>18</v>
      </c>
      <c r="H1995" s="2" t="s">
        <v>25</v>
      </c>
      <c r="I1995" s="2" t="s">
        <v>26</v>
      </c>
      <c r="J1995" s="2" t="s">
        <v>886</v>
      </c>
      <c r="K1995" s="2" t="s">
        <v>1353</v>
      </c>
      <c r="L1995" s="3">
        <v>0.41597222222222219</v>
      </c>
      <c r="M1995" s="2" t="s">
        <v>956</v>
      </c>
      <c r="N1995" s="2" t="s">
        <v>500</v>
      </c>
      <c r="O1995" s="2"/>
    </row>
    <row r="1996" spans="1:15" x14ac:dyDescent="0.25">
      <c r="A1996" s="2" t="s">
        <v>15</v>
      </c>
      <c r="B1996" s="2" t="str">
        <f>"FES1162769726"</f>
        <v>FES1162769726</v>
      </c>
      <c r="C1996" s="2" t="s">
        <v>1266</v>
      </c>
      <c r="D1996" s="2">
        <v>1</v>
      </c>
      <c r="E1996" s="2" t="str">
        <f>"2170756890"</f>
        <v>2170756890</v>
      </c>
      <c r="F1996" s="2" t="s">
        <v>17</v>
      </c>
      <c r="G1996" s="2" t="s">
        <v>18</v>
      </c>
      <c r="H1996" s="2" t="s">
        <v>18</v>
      </c>
      <c r="I1996" s="2" t="s">
        <v>63</v>
      </c>
      <c r="J1996" s="2" t="s">
        <v>93</v>
      </c>
      <c r="K1996" s="2" t="s">
        <v>1353</v>
      </c>
      <c r="L1996" s="3">
        <v>0.34513888888888888</v>
      </c>
      <c r="M1996" s="2" t="s">
        <v>736</v>
      </c>
      <c r="N1996" s="2" t="s">
        <v>500</v>
      </c>
      <c r="O1996" s="2"/>
    </row>
    <row r="1997" spans="1:15" x14ac:dyDescent="0.25">
      <c r="A1997" s="2" t="s">
        <v>15</v>
      </c>
      <c r="B1997" s="2" t="str">
        <f>"FES1162770206"</f>
        <v>FES1162770206</v>
      </c>
      <c r="C1997" s="2" t="s">
        <v>1266</v>
      </c>
      <c r="D1997" s="2">
        <v>1</v>
      </c>
      <c r="E1997" s="2" t="str">
        <f>"2170757451"</f>
        <v>2170757451</v>
      </c>
      <c r="F1997" s="2" t="s">
        <v>17</v>
      </c>
      <c r="G1997" s="2" t="s">
        <v>18</v>
      </c>
      <c r="H1997" s="2" t="s">
        <v>25</v>
      </c>
      <c r="I1997" s="2" t="s">
        <v>39</v>
      </c>
      <c r="J1997" s="2" t="s">
        <v>161</v>
      </c>
      <c r="K1997" s="2" t="s">
        <v>1353</v>
      </c>
      <c r="L1997" s="3">
        <v>0.50277777777777777</v>
      </c>
      <c r="M1997" s="2" t="s">
        <v>977</v>
      </c>
      <c r="N1997" s="2" t="s">
        <v>500</v>
      </c>
      <c r="O1997" s="2"/>
    </row>
    <row r="1998" spans="1:15" x14ac:dyDescent="0.25">
      <c r="A1998" s="2" t="s">
        <v>15</v>
      </c>
      <c r="B1998" s="2" t="str">
        <f>"FES1162770116"</f>
        <v>FES1162770116</v>
      </c>
      <c r="C1998" s="2" t="s">
        <v>1266</v>
      </c>
      <c r="D1998" s="2">
        <v>1</v>
      </c>
      <c r="E1998" s="2" t="str">
        <f>"2170757200"</f>
        <v>2170757200</v>
      </c>
      <c r="F1998" s="2" t="s">
        <v>17</v>
      </c>
      <c r="G1998" s="2" t="s">
        <v>18</v>
      </c>
      <c r="H1998" s="2" t="s">
        <v>88</v>
      </c>
      <c r="I1998" s="2" t="s">
        <v>109</v>
      </c>
      <c r="J1998" s="2" t="s">
        <v>110</v>
      </c>
      <c r="K1998" s="2" t="s">
        <v>1353</v>
      </c>
      <c r="L1998" s="3">
        <v>0.45763888888888887</v>
      </c>
      <c r="M1998" s="2" t="s">
        <v>224</v>
      </c>
      <c r="N1998" s="2" t="s">
        <v>500</v>
      </c>
      <c r="O1998" s="2"/>
    </row>
    <row r="1999" spans="1:15" x14ac:dyDescent="0.25">
      <c r="A1999" s="2" t="s">
        <v>15</v>
      </c>
      <c r="B1999" s="2" t="str">
        <f>"FES1162769502"</f>
        <v>FES1162769502</v>
      </c>
      <c r="C1999" s="2" t="s">
        <v>1266</v>
      </c>
      <c r="D1999" s="2">
        <v>1</v>
      </c>
      <c r="E1999" s="2" t="str">
        <f>"2170755184"</f>
        <v>2170755184</v>
      </c>
      <c r="F1999" s="2" t="s">
        <v>17</v>
      </c>
      <c r="G1999" s="2" t="s">
        <v>18</v>
      </c>
      <c r="H1999" s="2" t="s">
        <v>19</v>
      </c>
      <c r="I1999" s="2" t="s">
        <v>111</v>
      </c>
      <c r="J1999" s="2" t="s">
        <v>143</v>
      </c>
      <c r="K1999" s="2" t="s">
        <v>1353</v>
      </c>
      <c r="L1999" s="3">
        <v>0.3263888888888889</v>
      </c>
      <c r="M1999" s="2" t="s">
        <v>144</v>
      </c>
      <c r="N1999" s="2" t="s">
        <v>500</v>
      </c>
      <c r="O1999" s="2"/>
    </row>
    <row r="2000" spans="1:15" x14ac:dyDescent="0.25">
      <c r="A2000" s="2" t="s">
        <v>15</v>
      </c>
      <c r="B2000" s="2" t="str">
        <f>"FES1162769933"</f>
        <v>FES1162769933</v>
      </c>
      <c r="C2000" s="2" t="s">
        <v>1266</v>
      </c>
      <c r="D2000" s="2">
        <v>1</v>
      </c>
      <c r="E2000" s="2" t="str">
        <f>"2170755306"</f>
        <v>2170755306</v>
      </c>
      <c r="F2000" s="2" t="s">
        <v>17</v>
      </c>
      <c r="G2000" s="2" t="s">
        <v>18</v>
      </c>
      <c r="H2000" s="2" t="s">
        <v>19</v>
      </c>
      <c r="I2000" s="2" t="s">
        <v>20</v>
      </c>
      <c r="J2000" s="2" t="s">
        <v>21</v>
      </c>
      <c r="K2000" s="2" t="s">
        <v>1353</v>
      </c>
      <c r="L2000" s="3">
        <v>0.38680555555555557</v>
      </c>
      <c r="M2000" s="2" t="s">
        <v>263</v>
      </c>
      <c r="N2000" s="2" t="s">
        <v>500</v>
      </c>
      <c r="O2000" s="2"/>
    </row>
    <row r="2001" spans="1:15" x14ac:dyDescent="0.25">
      <c r="A2001" s="2" t="s">
        <v>15</v>
      </c>
      <c r="B2001" s="2" t="str">
        <f>"FES1162769509"</f>
        <v>FES1162769509</v>
      </c>
      <c r="C2001" s="2" t="s">
        <v>1266</v>
      </c>
      <c r="D2001" s="2">
        <v>1</v>
      </c>
      <c r="E2001" s="2" t="str">
        <f>"2170755321"</f>
        <v>2170755321</v>
      </c>
      <c r="F2001" s="2" t="s">
        <v>17</v>
      </c>
      <c r="G2001" s="2" t="s">
        <v>18</v>
      </c>
      <c r="H2001" s="2" t="s">
        <v>18</v>
      </c>
      <c r="I2001" s="2" t="s">
        <v>63</v>
      </c>
      <c r="J2001" s="2" t="s">
        <v>421</v>
      </c>
      <c r="K2001" s="2" t="s">
        <v>1353</v>
      </c>
      <c r="L2001" s="3">
        <v>0.35138888888888892</v>
      </c>
      <c r="M2001" s="2" t="s">
        <v>525</v>
      </c>
      <c r="N2001" s="2" t="s">
        <v>500</v>
      </c>
      <c r="O2001" s="2"/>
    </row>
    <row r="2002" spans="1:15" x14ac:dyDescent="0.25">
      <c r="A2002" s="2" t="s">
        <v>15</v>
      </c>
      <c r="B2002" s="2" t="str">
        <f>"FES1162769678"</f>
        <v>FES1162769678</v>
      </c>
      <c r="C2002" s="2" t="s">
        <v>1266</v>
      </c>
      <c r="D2002" s="2">
        <v>1</v>
      </c>
      <c r="E2002" s="2" t="str">
        <f>"2170756786"</f>
        <v>2170756786</v>
      </c>
      <c r="F2002" s="2" t="s">
        <v>17</v>
      </c>
      <c r="G2002" s="2" t="s">
        <v>18</v>
      </c>
      <c r="H2002" s="2" t="s">
        <v>18</v>
      </c>
      <c r="I2002" s="2" t="s">
        <v>63</v>
      </c>
      <c r="J2002" s="2" t="s">
        <v>1427</v>
      </c>
      <c r="K2002" s="2" t="s">
        <v>1353</v>
      </c>
      <c r="L2002" s="3">
        <v>0.375</v>
      </c>
      <c r="M2002" s="2" t="s">
        <v>1533</v>
      </c>
      <c r="N2002" s="2" t="s">
        <v>500</v>
      </c>
      <c r="O2002" s="2"/>
    </row>
    <row r="2003" spans="1:15" x14ac:dyDescent="0.25">
      <c r="A2003" s="2" t="s">
        <v>15</v>
      </c>
      <c r="B2003" s="2" t="str">
        <f>"FES1162769967"</f>
        <v>FES1162769967</v>
      </c>
      <c r="C2003" s="2" t="s">
        <v>1266</v>
      </c>
      <c r="D2003" s="2">
        <v>1</v>
      </c>
      <c r="E2003" s="2" t="str">
        <f>"2170755630"</f>
        <v>2170755630</v>
      </c>
      <c r="F2003" s="2" t="s">
        <v>17</v>
      </c>
      <c r="G2003" s="2" t="s">
        <v>18</v>
      </c>
      <c r="H2003" s="2" t="s">
        <v>36</v>
      </c>
      <c r="I2003" s="2" t="s">
        <v>37</v>
      </c>
      <c r="J2003" s="2" t="s">
        <v>378</v>
      </c>
      <c r="K2003" s="2" t="s">
        <v>1353</v>
      </c>
      <c r="L2003" s="3">
        <v>0.40277777777777773</v>
      </c>
      <c r="M2003" s="2" t="s">
        <v>379</v>
      </c>
      <c r="N2003" s="2" t="s">
        <v>500</v>
      </c>
      <c r="O2003" s="2"/>
    </row>
    <row r="2004" spans="1:15" x14ac:dyDescent="0.25">
      <c r="A2004" s="2" t="s">
        <v>15</v>
      </c>
      <c r="B2004" s="2" t="str">
        <f>"FES1162770114"</f>
        <v>FES1162770114</v>
      </c>
      <c r="C2004" s="2" t="s">
        <v>1266</v>
      </c>
      <c r="D2004" s="2">
        <v>1</v>
      </c>
      <c r="E2004" s="2" t="str">
        <f>"2170757125"</f>
        <v>2170757125</v>
      </c>
      <c r="F2004" s="2" t="s">
        <v>17</v>
      </c>
      <c r="G2004" s="2" t="s">
        <v>18</v>
      </c>
      <c r="H2004" s="2" t="s">
        <v>18</v>
      </c>
      <c r="I2004" s="2" t="s">
        <v>116</v>
      </c>
      <c r="J2004" s="2" t="s">
        <v>331</v>
      </c>
      <c r="K2004" s="2" t="s">
        <v>1353</v>
      </c>
      <c r="L2004" s="3">
        <v>0.33333333333333331</v>
      </c>
      <c r="M2004" s="2" t="s">
        <v>332</v>
      </c>
      <c r="N2004" s="2" t="s">
        <v>500</v>
      </c>
      <c r="O2004" s="2"/>
    </row>
    <row r="2005" spans="1:15" x14ac:dyDescent="0.25">
      <c r="A2005" s="2" t="s">
        <v>15</v>
      </c>
      <c r="B2005" s="2" t="str">
        <f>"FES1162768604"</f>
        <v>FES1162768604</v>
      </c>
      <c r="C2005" s="2" t="s">
        <v>1266</v>
      </c>
      <c r="D2005" s="2">
        <v>1</v>
      </c>
      <c r="E2005" s="2" t="str">
        <f>"2170755387"</f>
        <v>2170755387</v>
      </c>
      <c r="F2005" s="2" t="s">
        <v>17</v>
      </c>
      <c r="G2005" s="2" t="s">
        <v>18</v>
      </c>
      <c r="H2005" s="2" t="s">
        <v>18</v>
      </c>
      <c r="I2005" s="2" t="s">
        <v>57</v>
      </c>
      <c r="J2005" s="2" t="s">
        <v>103</v>
      </c>
      <c r="K2005" s="2" t="s">
        <v>1353</v>
      </c>
      <c r="L2005" s="3">
        <v>0.28819444444444448</v>
      </c>
      <c r="M2005" s="2" t="s">
        <v>220</v>
      </c>
      <c r="N2005" s="2" t="s">
        <v>500</v>
      </c>
      <c r="O2005" s="2"/>
    </row>
    <row r="2006" spans="1:15" x14ac:dyDescent="0.25">
      <c r="A2006" s="2" t="s">
        <v>15</v>
      </c>
      <c r="B2006" s="2" t="str">
        <f>"FES1162768600"</f>
        <v>FES1162768600</v>
      </c>
      <c r="C2006" s="2" t="s">
        <v>1266</v>
      </c>
      <c r="D2006" s="2">
        <v>1</v>
      </c>
      <c r="E2006" s="2" t="str">
        <f>"2170754800"</f>
        <v>2170754800</v>
      </c>
      <c r="F2006" s="2" t="s">
        <v>17</v>
      </c>
      <c r="G2006" s="2" t="s">
        <v>18</v>
      </c>
      <c r="H2006" s="2" t="s">
        <v>19</v>
      </c>
      <c r="I2006" s="2" t="s">
        <v>20</v>
      </c>
      <c r="J2006" s="2" t="s">
        <v>21</v>
      </c>
      <c r="K2006" s="2" t="s">
        <v>1353</v>
      </c>
      <c r="L2006" s="3">
        <v>0.38680555555555557</v>
      </c>
      <c r="M2006" s="2" t="s">
        <v>263</v>
      </c>
      <c r="N2006" s="2" t="s">
        <v>500</v>
      </c>
      <c r="O2006" s="2"/>
    </row>
    <row r="2007" spans="1:15" x14ac:dyDescent="0.25">
      <c r="A2007" s="2" t="s">
        <v>15</v>
      </c>
      <c r="B2007" s="2" t="str">
        <f>"FES1162766181"</f>
        <v>FES1162766181</v>
      </c>
      <c r="C2007" s="2" t="s">
        <v>1266</v>
      </c>
      <c r="D2007" s="2">
        <v>1</v>
      </c>
      <c r="E2007" s="2" t="str">
        <f>"2170754314"</f>
        <v>2170754314</v>
      </c>
      <c r="F2007" s="2" t="s">
        <v>17</v>
      </c>
      <c r="G2007" s="2" t="s">
        <v>18</v>
      </c>
      <c r="H2007" s="2" t="s">
        <v>18</v>
      </c>
      <c r="I2007" s="2" t="s">
        <v>50</v>
      </c>
      <c r="J2007" s="2" t="s">
        <v>787</v>
      </c>
      <c r="K2007" s="2" t="s">
        <v>1353</v>
      </c>
      <c r="L2007" s="3">
        <v>0.34166666666666662</v>
      </c>
      <c r="M2007" s="2" t="s">
        <v>559</v>
      </c>
      <c r="N2007" s="2" t="s">
        <v>500</v>
      </c>
      <c r="O2007" s="2"/>
    </row>
    <row r="2008" spans="1:15" x14ac:dyDescent="0.25">
      <c r="A2008" s="2" t="s">
        <v>15</v>
      </c>
      <c r="B2008" s="2" t="str">
        <f>"FES1162769961"</f>
        <v>FES1162769961</v>
      </c>
      <c r="C2008" s="2" t="s">
        <v>1266</v>
      </c>
      <c r="D2008" s="2">
        <v>1</v>
      </c>
      <c r="E2008" s="2" t="str">
        <f>"2170755607"</f>
        <v>2170755607</v>
      </c>
      <c r="F2008" s="2" t="s">
        <v>17</v>
      </c>
      <c r="G2008" s="2" t="s">
        <v>18</v>
      </c>
      <c r="H2008" s="2" t="s">
        <v>18</v>
      </c>
      <c r="I2008" s="2" t="s">
        <v>46</v>
      </c>
      <c r="J2008" s="2" t="s">
        <v>1428</v>
      </c>
      <c r="K2008" s="2" t="s">
        <v>1353</v>
      </c>
      <c r="L2008" s="3">
        <v>0.38541666666666669</v>
      </c>
      <c r="M2008" s="2" t="s">
        <v>1534</v>
      </c>
      <c r="N2008" s="2" t="s">
        <v>500</v>
      </c>
      <c r="O2008" s="2"/>
    </row>
    <row r="2009" spans="1:15" x14ac:dyDescent="0.25">
      <c r="A2009" s="2" t="s">
        <v>15</v>
      </c>
      <c r="B2009" s="2" t="str">
        <f>"FES1162769731"</f>
        <v>FES1162769731</v>
      </c>
      <c r="C2009" s="2" t="s">
        <v>1266</v>
      </c>
      <c r="D2009" s="2">
        <v>1</v>
      </c>
      <c r="E2009" s="2" t="str">
        <f>"2170756904"</f>
        <v>2170756904</v>
      </c>
      <c r="F2009" s="2" t="s">
        <v>17</v>
      </c>
      <c r="G2009" s="2" t="s">
        <v>18</v>
      </c>
      <c r="H2009" s="2" t="s">
        <v>88</v>
      </c>
      <c r="I2009" s="2" t="s">
        <v>109</v>
      </c>
      <c r="J2009" s="2" t="s">
        <v>141</v>
      </c>
      <c r="K2009" s="2" t="s">
        <v>1353</v>
      </c>
      <c r="L2009" s="3">
        <v>0.4375</v>
      </c>
      <c r="M2009" s="2" t="s">
        <v>1393</v>
      </c>
      <c r="N2009" s="2" t="s">
        <v>500</v>
      </c>
      <c r="O2009" s="2"/>
    </row>
    <row r="2010" spans="1:15" x14ac:dyDescent="0.25">
      <c r="A2010" s="2" t="s">
        <v>15</v>
      </c>
      <c r="B2010" s="2" t="str">
        <f>"FES1162767302"</f>
        <v>FES1162767302</v>
      </c>
      <c r="C2010" s="2" t="s">
        <v>1266</v>
      </c>
      <c r="D2010" s="2">
        <v>1</v>
      </c>
      <c r="E2010" s="2" t="str">
        <f>"2170754298"</f>
        <v>2170754298</v>
      </c>
      <c r="F2010" s="2" t="s">
        <v>17</v>
      </c>
      <c r="G2010" s="2" t="s">
        <v>18</v>
      </c>
      <c r="H2010" s="2" t="s">
        <v>19</v>
      </c>
      <c r="I2010" s="2" t="s">
        <v>20</v>
      </c>
      <c r="J2010" s="2" t="s">
        <v>359</v>
      </c>
      <c r="K2010" s="2" t="s">
        <v>1353</v>
      </c>
      <c r="L2010" s="3">
        <v>0.44791666666666669</v>
      </c>
      <c r="M2010" s="2" t="s">
        <v>860</v>
      </c>
      <c r="N2010" s="2" t="s">
        <v>500</v>
      </c>
      <c r="O2010" s="2"/>
    </row>
    <row r="2011" spans="1:15" x14ac:dyDescent="0.25">
      <c r="A2011" s="2" t="s">
        <v>15</v>
      </c>
      <c r="B2011" s="2" t="str">
        <f>"FES1162770098"</f>
        <v>FES1162770098</v>
      </c>
      <c r="C2011" s="2" t="s">
        <v>1266</v>
      </c>
      <c r="D2011" s="2">
        <v>1</v>
      </c>
      <c r="E2011" s="2" t="str">
        <f>"2170757345"</f>
        <v>2170757345</v>
      </c>
      <c r="F2011" s="2" t="s">
        <v>17</v>
      </c>
      <c r="G2011" s="2" t="s">
        <v>18</v>
      </c>
      <c r="H2011" s="2" t="s">
        <v>25</v>
      </c>
      <c r="I2011" s="2" t="s">
        <v>26</v>
      </c>
      <c r="J2011" s="2" t="s">
        <v>75</v>
      </c>
      <c r="K2011" s="2" t="s">
        <v>1353</v>
      </c>
      <c r="L2011" s="3">
        <v>0.39166666666666666</v>
      </c>
      <c r="M2011" s="2" t="s">
        <v>518</v>
      </c>
      <c r="N2011" s="2" t="s">
        <v>500</v>
      </c>
      <c r="O2011" s="2"/>
    </row>
    <row r="2012" spans="1:15" x14ac:dyDescent="0.25">
      <c r="A2012" s="2" t="s">
        <v>15</v>
      </c>
      <c r="B2012" s="2" t="str">
        <f>"FES1162770107"</f>
        <v>FES1162770107</v>
      </c>
      <c r="C2012" s="2" t="s">
        <v>1266</v>
      </c>
      <c r="D2012" s="2">
        <v>1</v>
      </c>
      <c r="E2012" s="2" t="str">
        <f>"2170756232"</f>
        <v>2170756232</v>
      </c>
      <c r="F2012" s="2" t="s">
        <v>17</v>
      </c>
      <c r="G2012" s="2" t="s">
        <v>18</v>
      </c>
      <c r="H2012" s="2" t="s">
        <v>18</v>
      </c>
      <c r="I2012" s="2" t="s">
        <v>63</v>
      </c>
      <c r="J2012" s="2" t="s">
        <v>93</v>
      </c>
      <c r="K2012" s="2" t="s">
        <v>1353</v>
      </c>
      <c r="L2012" s="3">
        <v>0.34791666666666665</v>
      </c>
      <c r="M2012" s="2" t="s">
        <v>736</v>
      </c>
      <c r="N2012" s="2" t="s">
        <v>500</v>
      </c>
      <c r="O2012" s="2"/>
    </row>
    <row r="2013" spans="1:15" x14ac:dyDescent="0.25">
      <c r="A2013" s="2" t="s">
        <v>15</v>
      </c>
      <c r="B2013" s="2" t="str">
        <f>"FES1162770130"</f>
        <v>FES1162770130</v>
      </c>
      <c r="C2013" s="2" t="s">
        <v>1266</v>
      </c>
      <c r="D2013" s="2">
        <v>1</v>
      </c>
      <c r="E2013" s="2" t="str">
        <f>"2170757370"</f>
        <v>2170757370</v>
      </c>
      <c r="F2013" s="2" t="s">
        <v>17</v>
      </c>
      <c r="G2013" s="2" t="s">
        <v>18</v>
      </c>
      <c r="H2013" s="2" t="s">
        <v>18</v>
      </c>
      <c r="I2013" s="2" t="s">
        <v>478</v>
      </c>
      <c r="J2013" s="2" t="s">
        <v>778</v>
      </c>
      <c r="K2013" s="2" t="s">
        <v>1353</v>
      </c>
      <c r="L2013" s="3">
        <v>0.35416666666666669</v>
      </c>
      <c r="M2013" s="2" t="s">
        <v>1483</v>
      </c>
      <c r="N2013" s="2" t="s">
        <v>500</v>
      </c>
      <c r="O2013" s="2"/>
    </row>
    <row r="2014" spans="1:15" x14ac:dyDescent="0.25">
      <c r="A2014" s="2" t="s">
        <v>15</v>
      </c>
      <c r="B2014" s="2" t="str">
        <f>"FES1162770182"</f>
        <v>FES1162770182</v>
      </c>
      <c r="C2014" s="2" t="s">
        <v>1266</v>
      </c>
      <c r="D2014" s="2">
        <v>1</v>
      </c>
      <c r="E2014" s="2" t="str">
        <f>"2170757422"</f>
        <v>2170757422</v>
      </c>
      <c r="F2014" s="2" t="s">
        <v>17</v>
      </c>
      <c r="G2014" s="2" t="s">
        <v>18</v>
      </c>
      <c r="H2014" s="2" t="s">
        <v>18</v>
      </c>
      <c r="I2014" s="2" t="s">
        <v>46</v>
      </c>
      <c r="J2014" s="2" t="s">
        <v>59</v>
      </c>
      <c r="K2014" s="2" t="s">
        <v>1353</v>
      </c>
      <c r="L2014" s="3">
        <v>0.4375</v>
      </c>
      <c r="M2014" s="2" t="s">
        <v>559</v>
      </c>
      <c r="N2014" s="2" t="s">
        <v>500</v>
      </c>
      <c r="O2014" s="2"/>
    </row>
    <row r="2015" spans="1:15" x14ac:dyDescent="0.25">
      <c r="A2015" s="2" t="s">
        <v>15</v>
      </c>
      <c r="B2015" s="2" t="str">
        <f>"FES1162770155"</f>
        <v>FES1162770155</v>
      </c>
      <c r="C2015" s="2" t="s">
        <v>1266</v>
      </c>
      <c r="D2015" s="2">
        <v>1</v>
      </c>
      <c r="E2015" s="2" t="str">
        <f>"2170757388"</f>
        <v>2170757388</v>
      </c>
      <c r="F2015" s="2" t="s">
        <v>17</v>
      </c>
      <c r="G2015" s="2" t="s">
        <v>18</v>
      </c>
      <c r="H2015" s="2" t="s">
        <v>18</v>
      </c>
      <c r="I2015" s="2" t="s">
        <v>65</v>
      </c>
      <c r="J2015" s="2" t="s">
        <v>66</v>
      </c>
      <c r="K2015" s="2" t="s">
        <v>1353</v>
      </c>
      <c r="L2015" s="3">
        <v>0.35416666666666669</v>
      </c>
      <c r="M2015" s="2" t="s">
        <v>697</v>
      </c>
      <c r="N2015" s="2" t="s">
        <v>500</v>
      </c>
      <c r="O2015" s="2"/>
    </row>
    <row r="2016" spans="1:15" x14ac:dyDescent="0.25">
      <c r="A2016" s="2" t="s">
        <v>15</v>
      </c>
      <c r="B2016" s="2" t="str">
        <f>"FES1162770122"</f>
        <v>FES1162770122</v>
      </c>
      <c r="C2016" s="2" t="s">
        <v>1266</v>
      </c>
      <c r="D2016" s="2">
        <v>1</v>
      </c>
      <c r="E2016" s="2" t="str">
        <f>"2170757351"</f>
        <v>2170757351</v>
      </c>
      <c r="F2016" s="2" t="s">
        <v>17</v>
      </c>
      <c r="G2016" s="2" t="s">
        <v>18</v>
      </c>
      <c r="H2016" s="2" t="s">
        <v>18</v>
      </c>
      <c r="I2016" s="2" t="s">
        <v>50</v>
      </c>
      <c r="J2016" s="2" t="s">
        <v>51</v>
      </c>
      <c r="K2016" s="2" t="s">
        <v>1353</v>
      </c>
      <c r="L2016" s="3">
        <v>0.33333333333333331</v>
      </c>
      <c r="M2016" s="2" t="s">
        <v>184</v>
      </c>
      <c r="N2016" s="2" t="s">
        <v>500</v>
      </c>
      <c r="O2016" s="2"/>
    </row>
    <row r="2017" spans="1:15" x14ac:dyDescent="0.25">
      <c r="A2017" s="2" t="s">
        <v>15</v>
      </c>
      <c r="B2017" s="2" t="str">
        <f>"FES1162769566"</f>
        <v>FES1162769566</v>
      </c>
      <c r="C2017" s="2" t="s">
        <v>1266</v>
      </c>
      <c r="D2017" s="2">
        <v>1</v>
      </c>
      <c r="E2017" s="2" t="str">
        <f>"2170756593"</f>
        <v>2170756593</v>
      </c>
      <c r="F2017" s="2" t="s">
        <v>17</v>
      </c>
      <c r="G2017" s="2" t="s">
        <v>18</v>
      </c>
      <c r="H2017" s="2" t="s">
        <v>25</v>
      </c>
      <c r="I2017" s="2" t="s">
        <v>345</v>
      </c>
      <c r="J2017" s="2" t="s">
        <v>412</v>
      </c>
      <c r="K2017" s="2" t="s">
        <v>1506</v>
      </c>
      <c r="L2017" s="3">
        <v>0.41666666666666669</v>
      </c>
      <c r="M2017" s="2" t="s">
        <v>1523</v>
      </c>
      <c r="N2017" s="2" t="s">
        <v>500</v>
      </c>
      <c r="O2017" s="2"/>
    </row>
    <row r="2018" spans="1:15" x14ac:dyDescent="0.25">
      <c r="A2018" s="2" t="s">
        <v>15</v>
      </c>
      <c r="B2018" s="2" t="str">
        <f>"FES1162770059"</f>
        <v>FES1162770059</v>
      </c>
      <c r="C2018" s="2" t="s">
        <v>1266</v>
      </c>
      <c r="D2018" s="2">
        <v>1</v>
      </c>
      <c r="E2018" s="2" t="str">
        <f>"2170755836"</f>
        <v>2170755836</v>
      </c>
      <c r="F2018" s="2" t="s">
        <v>17</v>
      </c>
      <c r="G2018" s="2" t="s">
        <v>18</v>
      </c>
      <c r="H2018" s="2" t="s">
        <v>19</v>
      </c>
      <c r="I2018" s="2" t="s">
        <v>111</v>
      </c>
      <c r="J2018" s="2" t="s">
        <v>662</v>
      </c>
      <c r="K2018" s="2" t="s">
        <v>1353</v>
      </c>
      <c r="L2018" s="3">
        <v>0.39583333333333331</v>
      </c>
      <c r="M2018" s="2" t="s">
        <v>1535</v>
      </c>
      <c r="N2018" s="2" t="s">
        <v>500</v>
      </c>
      <c r="O2018" s="2"/>
    </row>
    <row r="2019" spans="1:15" x14ac:dyDescent="0.25">
      <c r="A2019" s="2" t="s">
        <v>15</v>
      </c>
      <c r="B2019" s="2" t="str">
        <f>"FES1162770150"</f>
        <v>FES1162770150</v>
      </c>
      <c r="C2019" s="2" t="s">
        <v>1266</v>
      </c>
      <c r="D2019" s="2">
        <v>1</v>
      </c>
      <c r="E2019" s="2" t="str">
        <f>"2170757380"</f>
        <v>2170757380</v>
      </c>
      <c r="F2019" s="2" t="s">
        <v>17</v>
      </c>
      <c r="G2019" s="2" t="s">
        <v>18</v>
      </c>
      <c r="H2019" s="2" t="s">
        <v>19</v>
      </c>
      <c r="I2019" s="2" t="s">
        <v>136</v>
      </c>
      <c r="J2019" s="2" t="s">
        <v>137</v>
      </c>
      <c r="K2019" s="2" t="s">
        <v>1353</v>
      </c>
      <c r="L2019" s="3">
        <v>0.51527777777777783</v>
      </c>
      <c r="M2019" s="2" t="s">
        <v>1536</v>
      </c>
      <c r="N2019" s="2" t="s">
        <v>500</v>
      </c>
      <c r="O2019" s="2"/>
    </row>
    <row r="2020" spans="1:15" x14ac:dyDescent="0.25">
      <c r="A2020" s="2" t="s">
        <v>15</v>
      </c>
      <c r="B2020" s="2" t="str">
        <f>"FES1162769978"</f>
        <v>FES1162769978</v>
      </c>
      <c r="C2020" s="2" t="s">
        <v>1266</v>
      </c>
      <c r="D2020" s="2">
        <v>1</v>
      </c>
      <c r="E2020" s="2" t="str">
        <f>"2170755789"</f>
        <v>2170755789</v>
      </c>
      <c r="F2020" s="2" t="s">
        <v>17</v>
      </c>
      <c r="G2020" s="2" t="s">
        <v>18</v>
      </c>
      <c r="H2020" s="2" t="s">
        <v>19</v>
      </c>
      <c r="I2020" s="2" t="s">
        <v>20</v>
      </c>
      <c r="J2020" s="2" t="s">
        <v>21</v>
      </c>
      <c r="K2020" s="2" t="s">
        <v>1353</v>
      </c>
      <c r="L2020" s="3">
        <v>0.38680555555555557</v>
      </c>
      <c r="M2020" s="2" t="s">
        <v>263</v>
      </c>
      <c r="N2020" s="2" t="s">
        <v>500</v>
      </c>
      <c r="O2020" s="2"/>
    </row>
    <row r="2021" spans="1:15" x14ac:dyDescent="0.25">
      <c r="A2021" s="2" t="s">
        <v>15</v>
      </c>
      <c r="B2021" s="2" t="str">
        <f>"FES1162769488"</f>
        <v>FES1162769488</v>
      </c>
      <c r="C2021" s="2" t="s">
        <v>1266</v>
      </c>
      <c r="D2021" s="2">
        <v>1</v>
      </c>
      <c r="E2021" s="2" t="str">
        <f>"2170754823"</f>
        <v>2170754823</v>
      </c>
      <c r="F2021" s="2" t="s">
        <v>17</v>
      </c>
      <c r="G2021" s="2" t="s">
        <v>18</v>
      </c>
      <c r="H2021" s="2" t="s">
        <v>19</v>
      </c>
      <c r="I2021" s="2" t="s">
        <v>111</v>
      </c>
      <c r="J2021" s="2" t="s">
        <v>1220</v>
      </c>
      <c r="K2021" s="2" t="s">
        <v>1353</v>
      </c>
      <c r="L2021" s="3">
        <v>0.40486111111111112</v>
      </c>
      <c r="M2021" s="2" t="s">
        <v>572</v>
      </c>
      <c r="N2021" s="2" t="s">
        <v>500</v>
      </c>
      <c r="O2021" s="2"/>
    </row>
    <row r="2022" spans="1:15" x14ac:dyDescent="0.25">
      <c r="A2022" s="2" t="s">
        <v>15</v>
      </c>
      <c r="B2022" s="2" t="str">
        <f>"FES1162770118"</f>
        <v>FES1162770118</v>
      </c>
      <c r="C2022" s="2" t="s">
        <v>1266</v>
      </c>
      <c r="D2022" s="2">
        <v>1</v>
      </c>
      <c r="E2022" s="2" t="str">
        <f>"2170757241"</f>
        <v>2170757241</v>
      </c>
      <c r="F2022" s="2" t="s">
        <v>17</v>
      </c>
      <c r="G2022" s="2" t="s">
        <v>18</v>
      </c>
      <c r="H2022" s="2" t="s">
        <v>19</v>
      </c>
      <c r="I2022" s="2" t="s">
        <v>111</v>
      </c>
      <c r="J2022" s="2" t="s">
        <v>385</v>
      </c>
      <c r="K2022" s="2" t="s">
        <v>1353</v>
      </c>
      <c r="L2022" s="3">
        <v>0.35972222222222222</v>
      </c>
      <c r="M2022" s="2" t="s">
        <v>1537</v>
      </c>
      <c r="N2022" s="2" t="s">
        <v>500</v>
      </c>
      <c r="O2022" s="2"/>
    </row>
    <row r="2023" spans="1:15" x14ac:dyDescent="0.25">
      <c r="A2023" s="2" t="s">
        <v>15</v>
      </c>
      <c r="B2023" s="2" t="str">
        <f>"FES1162770072"</f>
        <v>FES1162770072</v>
      </c>
      <c r="C2023" s="2" t="s">
        <v>1266</v>
      </c>
      <c r="D2023" s="2">
        <v>1</v>
      </c>
      <c r="E2023" s="2" t="str">
        <f>"21707557311"</f>
        <v>21707557311</v>
      </c>
      <c r="F2023" s="2" t="s">
        <v>17</v>
      </c>
      <c r="G2023" s="2" t="s">
        <v>18</v>
      </c>
      <c r="H2023" s="2" t="s">
        <v>36</v>
      </c>
      <c r="I2023" s="2" t="s">
        <v>37</v>
      </c>
      <c r="J2023" s="2" t="s">
        <v>102</v>
      </c>
      <c r="K2023" s="2" t="s">
        <v>1353</v>
      </c>
      <c r="L2023" s="3">
        <v>0.3979166666666667</v>
      </c>
      <c r="M2023" s="2" t="s">
        <v>219</v>
      </c>
      <c r="N2023" s="2" t="s">
        <v>500</v>
      </c>
      <c r="O2023" s="2"/>
    </row>
    <row r="2024" spans="1:15" x14ac:dyDescent="0.25">
      <c r="A2024" s="2" t="s">
        <v>15</v>
      </c>
      <c r="B2024" s="2" t="str">
        <f>"FES1162769924"</f>
        <v>FES1162769924</v>
      </c>
      <c r="C2024" s="2" t="s">
        <v>1266</v>
      </c>
      <c r="D2024" s="2">
        <v>1</v>
      </c>
      <c r="E2024" s="2" t="str">
        <f>"2170755243"</f>
        <v>2170755243</v>
      </c>
      <c r="F2024" s="2" t="s">
        <v>17</v>
      </c>
      <c r="G2024" s="2" t="s">
        <v>18</v>
      </c>
      <c r="H2024" s="2" t="s">
        <v>78</v>
      </c>
      <c r="I2024" s="2" t="s">
        <v>79</v>
      </c>
      <c r="J2024" s="2" t="s">
        <v>113</v>
      </c>
      <c r="K2024" s="2" t="s">
        <v>1353</v>
      </c>
      <c r="L2024" s="3">
        <v>0.40277777777777773</v>
      </c>
      <c r="M2024" s="2" t="s">
        <v>1505</v>
      </c>
      <c r="N2024" s="2" t="s">
        <v>500</v>
      </c>
      <c r="O2024" s="2"/>
    </row>
    <row r="2025" spans="1:15" x14ac:dyDescent="0.25">
      <c r="A2025" s="2" t="s">
        <v>15</v>
      </c>
      <c r="B2025" s="2" t="str">
        <f>"FES1162770047"</f>
        <v>FES1162770047</v>
      </c>
      <c r="C2025" s="2" t="s">
        <v>1266</v>
      </c>
      <c r="D2025" s="2">
        <v>1</v>
      </c>
      <c r="E2025" s="2" t="str">
        <f>"2170757279"</f>
        <v>2170757279</v>
      </c>
      <c r="F2025" s="2" t="s">
        <v>17</v>
      </c>
      <c r="G2025" s="2" t="s">
        <v>18</v>
      </c>
      <c r="H2025" s="2" t="s">
        <v>25</v>
      </c>
      <c r="I2025" s="2" t="s">
        <v>26</v>
      </c>
      <c r="J2025" s="2" t="s">
        <v>75</v>
      </c>
      <c r="K2025" s="2" t="s">
        <v>1353</v>
      </c>
      <c r="L2025" s="3">
        <v>0.39305555555555555</v>
      </c>
      <c r="M2025" s="2" t="s">
        <v>518</v>
      </c>
      <c r="N2025" s="2" t="s">
        <v>500</v>
      </c>
      <c r="O2025" s="2"/>
    </row>
    <row r="2026" spans="1:15" x14ac:dyDescent="0.25">
      <c r="A2026" s="2" t="s">
        <v>15</v>
      </c>
      <c r="B2026" s="2" t="str">
        <f>"FES1162770163"</f>
        <v>FES1162770163</v>
      </c>
      <c r="C2026" s="2" t="s">
        <v>1266</v>
      </c>
      <c r="D2026" s="2">
        <v>1</v>
      </c>
      <c r="E2026" s="2" t="str">
        <f>"2170756597"</f>
        <v>2170756597</v>
      </c>
      <c r="F2026" s="2" t="s">
        <v>17</v>
      </c>
      <c r="G2026" s="2" t="s">
        <v>18</v>
      </c>
      <c r="H2026" s="2" t="s">
        <v>36</v>
      </c>
      <c r="I2026" s="2" t="s">
        <v>134</v>
      </c>
      <c r="J2026" s="2" t="s">
        <v>135</v>
      </c>
      <c r="K2026" s="2" t="s">
        <v>1353</v>
      </c>
      <c r="L2026" s="3">
        <v>0.40625</v>
      </c>
      <c r="M2026" s="2" t="s">
        <v>744</v>
      </c>
      <c r="N2026" s="2" t="s">
        <v>500</v>
      </c>
      <c r="O2026" s="2"/>
    </row>
    <row r="2027" spans="1:15" x14ac:dyDescent="0.25">
      <c r="A2027" s="2" t="s">
        <v>15</v>
      </c>
      <c r="B2027" s="2" t="str">
        <f>"FES1162770120"</f>
        <v>FES1162770120</v>
      </c>
      <c r="C2027" s="2" t="s">
        <v>1266</v>
      </c>
      <c r="D2027" s="2">
        <v>1</v>
      </c>
      <c r="E2027" s="2" t="str">
        <f>"2170757303"</f>
        <v>2170757303</v>
      </c>
      <c r="F2027" s="2" t="s">
        <v>17</v>
      </c>
      <c r="G2027" s="2" t="s">
        <v>18</v>
      </c>
      <c r="H2027" s="2" t="s">
        <v>25</v>
      </c>
      <c r="I2027" s="2" t="s">
        <v>26</v>
      </c>
      <c r="J2027" s="2" t="s">
        <v>1225</v>
      </c>
      <c r="K2027" s="2" t="s">
        <v>1353</v>
      </c>
      <c r="L2027" s="3">
        <v>0.41319444444444442</v>
      </c>
      <c r="M2027" s="2" t="s">
        <v>1538</v>
      </c>
      <c r="N2027" s="2" t="s">
        <v>500</v>
      </c>
      <c r="O2027" s="2"/>
    </row>
    <row r="2028" spans="1:15" x14ac:dyDescent="0.25">
      <c r="A2028" s="2" t="s">
        <v>15</v>
      </c>
      <c r="B2028" s="2" t="str">
        <f>"FES1162769769"</f>
        <v>FES1162769769</v>
      </c>
      <c r="C2028" s="2" t="s">
        <v>1266</v>
      </c>
      <c r="D2028" s="2">
        <v>1</v>
      </c>
      <c r="E2028" s="2" t="str">
        <f>"2170756992"</f>
        <v>2170756992</v>
      </c>
      <c r="F2028" s="2" t="s">
        <v>17</v>
      </c>
      <c r="G2028" s="2" t="s">
        <v>18</v>
      </c>
      <c r="H2028" s="2" t="s">
        <v>36</v>
      </c>
      <c r="I2028" s="2" t="s">
        <v>37</v>
      </c>
      <c r="J2028" s="2" t="s">
        <v>55</v>
      </c>
      <c r="K2028" s="2" t="s">
        <v>1353</v>
      </c>
      <c r="L2028" s="3">
        <v>0.36805555555555558</v>
      </c>
      <c r="M2028" s="2" t="s">
        <v>1470</v>
      </c>
      <c r="N2028" s="2" t="s">
        <v>500</v>
      </c>
      <c r="O2028" s="2"/>
    </row>
    <row r="2029" spans="1:15" x14ac:dyDescent="0.25">
      <c r="A2029" s="2" t="s">
        <v>15</v>
      </c>
      <c r="B2029" s="2" t="str">
        <f>"FES1162770186"</f>
        <v>FES1162770186</v>
      </c>
      <c r="C2029" s="2" t="s">
        <v>1266</v>
      </c>
      <c r="D2029" s="2">
        <v>1</v>
      </c>
      <c r="E2029" s="2" t="str">
        <f>"2170757429"</f>
        <v>2170757429</v>
      </c>
      <c r="F2029" s="2" t="s">
        <v>17</v>
      </c>
      <c r="G2029" s="2" t="s">
        <v>18</v>
      </c>
      <c r="H2029" s="2" t="s">
        <v>25</v>
      </c>
      <c r="I2029" s="2" t="s">
        <v>42</v>
      </c>
      <c r="J2029" s="2" t="s">
        <v>416</v>
      </c>
      <c r="K2029" s="2" t="s">
        <v>1353</v>
      </c>
      <c r="L2029" s="3">
        <v>0.72152777777777777</v>
      </c>
      <c r="M2029" s="2" t="s">
        <v>517</v>
      </c>
      <c r="N2029" s="2" t="s">
        <v>500</v>
      </c>
      <c r="O2029" s="2"/>
    </row>
    <row r="2030" spans="1:15" x14ac:dyDescent="0.25">
      <c r="A2030" s="2" t="s">
        <v>15</v>
      </c>
      <c r="B2030" s="2" t="str">
        <f>"FES1162770159"</f>
        <v>FES1162770159</v>
      </c>
      <c r="C2030" s="2" t="s">
        <v>1266</v>
      </c>
      <c r="D2030" s="2">
        <v>1</v>
      </c>
      <c r="E2030" s="2" t="str">
        <f>"2170752802"</f>
        <v>2170752802</v>
      </c>
      <c r="F2030" s="2" t="s">
        <v>17</v>
      </c>
      <c r="G2030" s="2" t="s">
        <v>18</v>
      </c>
      <c r="H2030" s="2" t="s">
        <v>36</v>
      </c>
      <c r="I2030" s="2" t="s">
        <v>37</v>
      </c>
      <c r="J2030" s="2" t="s">
        <v>162</v>
      </c>
      <c r="K2030" s="2" t="s">
        <v>1353</v>
      </c>
      <c r="L2030" s="3">
        <v>0.36527777777777781</v>
      </c>
      <c r="M2030" s="2" t="s">
        <v>268</v>
      </c>
      <c r="N2030" s="2" t="s">
        <v>500</v>
      </c>
      <c r="O2030" s="2"/>
    </row>
    <row r="2031" spans="1:15" x14ac:dyDescent="0.25">
      <c r="A2031" s="2" t="s">
        <v>15</v>
      </c>
      <c r="B2031" s="2" t="str">
        <f>"FES1162770160"</f>
        <v>FES1162770160</v>
      </c>
      <c r="C2031" s="2" t="s">
        <v>1266</v>
      </c>
      <c r="D2031" s="2">
        <v>1</v>
      </c>
      <c r="E2031" s="2" t="str">
        <f>"2170753251"</f>
        <v>2170753251</v>
      </c>
      <c r="F2031" s="2" t="s">
        <v>17</v>
      </c>
      <c r="G2031" s="2" t="s">
        <v>18</v>
      </c>
      <c r="H2031" s="2" t="s">
        <v>36</v>
      </c>
      <c r="I2031" s="2" t="s">
        <v>37</v>
      </c>
      <c r="J2031" s="2" t="s">
        <v>162</v>
      </c>
      <c r="K2031" s="2" t="s">
        <v>1353</v>
      </c>
      <c r="L2031" s="3">
        <v>0.36527777777777781</v>
      </c>
      <c r="M2031" s="2" t="s">
        <v>268</v>
      </c>
      <c r="N2031" s="2" t="s">
        <v>500</v>
      </c>
      <c r="O2031" s="2"/>
    </row>
    <row r="2032" spans="1:15" x14ac:dyDescent="0.25">
      <c r="A2032" s="2" t="s">
        <v>15</v>
      </c>
      <c r="B2032" s="2" t="str">
        <f>"FES1162770109"</f>
        <v>FES1162770109</v>
      </c>
      <c r="C2032" s="2" t="s">
        <v>1266</v>
      </c>
      <c r="D2032" s="2">
        <v>1</v>
      </c>
      <c r="E2032" s="2" t="str">
        <f>"2170756601"</f>
        <v>2170756601</v>
      </c>
      <c r="F2032" s="2" t="s">
        <v>17</v>
      </c>
      <c r="G2032" s="2" t="s">
        <v>18</v>
      </c>
      <c r="H2032" s="2" t="s">
        <v>78</v>
      </c>
      <c r="I2032" s="2" t="s">
        <v>79</v>
      </c>
      <c r="J2032" s="2" t="s">
        <v>81</v>
      </c>
      <c r="K2032" s="2" t="s">
        <v>1353</v>
      </c>
      <c r="L2032" s="3">
        <v>0.36805555555555558</v>
      </c>
      <c r="M2032" s="2" t="s">
        <v>1337</v>
      </c>
      <c r="N2032" s="2" t="s">
        <v>500</v>
      </c>
      <c r="O2032" s="2"/>
    </row>
    <row r="2033" spans="1:15" x14ac:dyDescent="0.25">
      <c r="A2033" s="2" t="s">
        <v>15</v>
      </c>
      <c r="B2033" s="2" t="str">
        <f>"FES1162770128"</f>
        <v>FES1162770128</v>
      </c>
      <c r="C2033" s="2" t="s">
        <v>1266</v>
      </c>
      <c r="D2033" s="2">
        <v>1</v>
      </c>
      <c r="E2033" s="2" t="str">
        <f>"2170757364"</f>
        <v>2170757364</v>
      </c>
      <c r="F2033" s="2" t="s">
        <v>17</v>
      </c>
      <c r="G2033" s="2" t="s">
        <v>18</v>
      </c>
      <c r="H2033" s="2" t="s">
        <v>18</v>
      </c>
      <c r="I2033" s="2" t="s">
        <v>46</v>
      </c>
      <c r="J2033" s="2" t="s">
        <v>880</v>
      </c>
      <c r="K2033" s="2" t="s">
        <v>1353</v>
      </c>
      <c r="L2033" s="3">
        <v>0.32847222222222222</v>
      </c>
      <c r="M2033" s="2" t="s">
        <v>881</v>
      </c>
      <c r="N2033" s="2" t="s">
        <v>500</v>
      </c>
      <c r="O2033" s="2"/>
    </row>
    <row r="2034" spans="1:15" x14ac:dyDescent="0.25">
      <c r="A2034" s="2" t="s">
        <v>15</v>
      </c>
      <c r="B2034" s="2" t="str">
        <f>"FES1162769472"</f>
        <v>FES1162769472</v>
      </c>
      <c r="C2034" s="2" t="s">
        <v>1266</v>
      </c>
      <c r="D2034" s="2">
        <v>1</v>
      </c>
      <c r="E2034" s="2" t="str">
        <f>"2170754465"</f>
        <v>2170754465</v>
      </c>
      <c r="F2034" s="2" t="s">
        <v>17</v>
      </c>
      <c r="G2034" s="2" t="s">
        <v>18</v>
      </c>
      <c r="H2034" s="2" t="s">
        <v>19</v>
      </c>
      <c r="I2034" s="2" t="s">
        <v>73</v>
      </c>
      <c r="J2034" s="2" t="s">
        <v>76</v>
      </c>
      <c r="K2034" s="2" t="s">
        <v>1353</v>
      </c>
      <c r="L2034" s="3">
        <v>0.40486111111111112</v>
      </c>
      <c r="M2034" s="2" t="s">
        <v>1067</v>
      </c>
      <c r="N2034" s="2" t="s">
        <v>500</v>
      </c>
      <c r="O2034" s="2"/>
    </row>
    <row r="2035" spans="1:15" x14ac:dyDescent="0.25">
      <c r="A2035" s="2" t="s">
        <v>15</v>
      </c>
      <c r="B2035" s="2" t="str">
        <f>"FES1162769459"</f>
        <v>FES1162769459</v>
      </c>
      <c r="C2035" s="2" t="s">
        <v>1266</v>
      </c>
      <c r="D2035" s="2">
        <v>1</v>
      </c>
      <c r="E2035" s="2" t="str">
        <f>"2170753247"</f>
        <v>2170753247</v>
      </c>
      <c r="F2035" s="2" t="s">
        <v>17</v>
      </c>
      <c r="G2035" s="2" t="s">
        <v>18</v>
      </c>
      <c r="H2035" s="2" t="s">
        <v>36</v>
      </c>
      <c r="I2035" s="2" t="s">
        <v>37</v>
      </c>
      <c r="J2035" s="2" t="s">
        <v>162</v>
      </c>
      <c r="K2035" s="2" t="s">
        <v>1353</v>
      </c>
      <c r="L2035" s="3">
        <v>0.36527777777777781</v>
      </c>
      <c r="M2035" s="2" t="s">
        <v>268</v>
      </c>
      <c r="N2035" s="2" t="s">
        <v>500</v>
      </c>
      <c r="O2035" s="2"/>
    </row>
    <row r="2036" spans="1:15" x14ac:dyDescent="0.25">
      <c r="A2036" s="2" t="s">
        <v>15</v>
      </c>
      <c r="B2036" s="2" t="str">
        <f>"FES1162769460"</f>
        <v>FES1162769460</v>
      </c>
      <c r="C2036" s="2" t="s">
        <v>1266</v>
      </c>
      <c r="D2036" s="2">
        <v>1</v>
      </c>
      <c r="E2036" s="2" t="str">
        <f>"2170753253"</f>
        <v>2170753253</v>
      </c>
      <c r="F2036" s="2" t="s">
        <v>17</v>
      </c>
      <c r="G2036" s="2" t="s">
        <v>18</v>
      </c>
      <c r="H2036" s="2" t="s">
        <v>36</v>
      </c>
      <c r="I2036" s="2" t="s">
        <v>37</v>
      </c>
      <c r="J2036" s="2" t="s">
        <v>162</v>
      </c>
      <c r="K2036" s="2" t="s">
        <v>1353</v>
      </c>
      <c r="L2036" s="3">
        <v>0.36527777777777781</v>
      </c>
      <c r="M2036" s="2" t="s">
        <v>268</v>
      </c>
      <c r="N2036" s="2" t="s">
        <v>500</v>
      </c>
      <c r="O2036" s="2"/>
    </row>
    <row r="2037" spans="1:15" x14ac:dyDescent="0.25">
      <c r="A2037" s="2" t="s">
        <v>15</v>
      </c>
      <c r="B2037" s="2" t="str">
        <f>"FES1162769894"</f>
        <v>FES1162769894</v>
      </c>
      <c r="C2037" s="2" t="s">
        <v>1266</v>
      </c>
      <c r="D2037" s="2">
        <v>2</v>
      </c>
      <c r="E2037" s="2" t="str">
        <f>"2170757177"</f>
        <v>2170757177</v>
      </c>
      <c r="F2037" s="2" t="s">
        <v>17</v>
      </c>
      <c r="G2037" s="2" t="s">
        <v>18</v>
      </c>
      <c r="H2037" s="2" t="s">
        <v>25</v>
      </c>
      <c r="I2037" s="2" t="s">
        <v>345</v>
      </c>
      <c r="J2037" s="2" t="s">
        <v>1429</v>
      </c>
      <c r="K2037" s="2" t="s">
        <v>1506</v>
      </c>
      <c r="L2037" s="3">
        <v>0.41666666666666669</v>
      </c>
      <c r="M2037" s="2" t="s">
        <v>1539</v>
      </c>
      <c r="N2037" s="2" t="s">
        <v>500</v>
      </c>
      <c r="O2037" s="2"/>
    </row>
    <row r="2038" spans="1:15" x14ac:dyDescent="0.25">
      <c r="A2038" s="2" t="s">
        <v>15</v>
      </c>
      <c r="B2038" s="2" t="str">
        <f>"FES1162770142"</f>
        <v>FES1162770142</v>
      </c>
      <c r="C2038" s="2" t="s">
        <v>1266</v>
      </c>
      <c r="D2038" s="2">
        <v>1</v>
      </c>
      <c r="E2038" s="2" t="str">
        <f>"2170757375"</f>
        <v>2170757375</v>
      </c>
      <c r="F2038" s="2" t="s">
        <v>17</v>
      </c>
      <c r="G2038" s="2" t="s">
        <v>18</v>
      </c>
      <c r="H2038" s="2" t="s">
        <v>18</v>
      </c>
      <c r="I2038" s="2" t="s">
        <v>105</v>
      </c>
      <c r="J2038" s="2" t="s">
        <v>1430</v>
      </c>
      <c r="K2038" s="2" t="s">
        <v>1353</v>
      </c>
      <c r="L2038" s="3">
        <v>0.4375</v>
      </c>
      <c r="M2038" s="2" t="s">
        <v>559</v>
      </c>
      <c r="N2038" s="2" t="s">
        <v>500</v>
      </c>
      <c r="O2038" s="2"/>
    </row>
    <row r="2039" spans="1:15" x14ac:dyDescent="0.25">
      <c r="A2039" s="2" t="s">
        <v>15</v>
      </c>
      <c r="B2039" s="2" t="str">
        <f>"FES1162770214"</f>
        <v>FES1162770214</v>
      </c>
      <c r="C2039" s="2" t="s">
        <v>1266</v>
      </c>
      <c r="D2039" s="2">
        <v>1</v>
      </c>
      <c r="E2039" s="2" t="str">
        <f>"2170754481"</f>
        <v>2170754481</v>
      </c>
      <c r="F2039" s="2" t="s">
        <v>17</v>
      </c>
      <c r="G2039" s="2" t="s">
        <v>18</v>
      </c>
      <c r="H2039" s="2" t="s">
        <v>88</v>
      </c>
      <c r="I2039" s="2" t="s">
        <v>109</v>
      </c>
      <c r="J2039" s="2" t="s">
        <v>1021</v>
      </c>
      <c r="K2039" s="2" t="s">
        <v>1506</v>
      </c>
      <c r="L2039" s="3">
        <v>0.4201388888888889</v>
      </c>
      <c r="M2039" s="2" t="s">
        <v>1540</v>
      </c>
      <c r="N2039" s="2" t="s">
        <v>500</v>
      </c>
      <c r="O2039" s="2"/>
    </row>
    <row r="2040" spans="1:15" x14ac:dyDescent="0.25">
      <c r="A2040" s="2" t="s">
        <v>15</v>
      </c>
      <c r="B2040" s="2" t="str">
        <f>"FES1162770138"</f>
        <v>FES1162770138</v>
      </c>
      <c r="C2040" s="2" t="s">
        <v>1266</v>
      </c>
      <c r="D2040" s="2">
        <v>1</v>
      </c>
      <c r="E2040" s="2" t="str">
        <f>"2170757361"</f>
        <v>2170757361</v>
      </c>
      <c r="F2040" s="2" t="s">
        <v>17</v>
      </c>
      <c r="G2040" s="2" t="s">
        <v>18</v>
      </c>
      <c r="H2040" s="2" t="s">
        <v>25</v>
      </c>
      <c r="I2040" s="2" t="s">
        <v>42</v>
      </c>
      <c r="J2040" s="2" t="s">
        <v>639</v>
      </c>
      <c r="K2040" s="2" t="s">
        <v>1353</v>
      </c>
      <c r="L2040" s="3">
        <v>0.64236111111111105</v>
      </c>
      <c r="M2040" s="2" t="s">
        <v>1541</v>
      </c>
      <c r="N2040" s="2" t="s">
        <v>500</v>
      </c>
      <c r="O2040" s="2"/>
    </row>
    <row r="2041" spans="1:15" x14ac:dyDescent="0.25">
      <c r="A2041" s="2" t="s">
        <v>15</v>
      </c>
      <c r="B2041" s="2" t="str">
        <f>"009940283635"</f>
        <v>009940283635</v>
      </c>
      <c r="C2041" s="2" t="s">
        <v>1266</v>
      </c>
      <c r="D2041" s="2">
        <v>1</v>
      </c>
      <c r="E2041" s="2" t="str">
        <f>"1162753814"</f>
        <v>1162753814</v>
      </c>
      <c r="F2041" s="2" t="s">
        <v>17</v>
      </c>
      <c r="G2041" s="2" t="s">
        <v>18</v>
      </c>
      <c r="H2041" s="2" t="s">
        <v>36</v>
      </c>
      <c r="I2041" s="2" t="s">
        <v>37</v>
      </c>
      <c r="J2041" s="2" t="s">
        <v>1431</v>
      </c>
      <c r="K2041" s="2" t="s">
        <v>1353</v>
      </c>
      <c r="L2041" s="3">
        <v>0.35138888888888892</v>
      </c>
      <c r="M2041" s="2" t="s">
        <v>1542</v>
      </c>
      <c r="N2041" s="2" t="s">
        <v>500</v>
      </c>
      <c r="O2041" s="2"/>
    </row>
    <row r="2042" spans="1:15" x14ac:dyDescent="0.25">
      <c r="A2042" s="2" t="s">
        <v>15</v>
      </c>
      <c r="B2042" s="2" t="str">
        <f>"FES1162770145"</f>
        <v>FES1162770145</v>
      </c>
      <c r="C2042" s="2" t="s">
        <v>1266</v>
      </c>
      <c r="D2042" s="2">
        <v>1</v>
      </c>
      <c r="E2042" s="2" t="str">
        <f>"2170757184"</f>
        <v>2170757184</v>
      </c>
      <c r="F2042" s="2" t="s">
        <v>17</v>
      </c>
      <c r="G2042" s="2" t="s">
        <v>18</v>
      </c>
      <c r="H2042" s="2" t="s">
        <v>18</v>
      </c>
      <c r="I2042" s="2" t="s">
        <v>63</v>
      </c>
      <c r="J2042" s="2" t="s">
        <v>1287</v>
      </c>
      <c r="K2042" s="2" t="s">
        <v>1353</v>
      </c>
      <c r="L2042" s="3">
        <v>0.4375</v>
      </c>
      <c r="M2042" s="2" t="s">
        <v>1339</v>
      </c>
      <c r="N2042" s="2" t="s">
        <v>500</v>
      </c>
      <c r="O2042" s="2"/>
    </row>
    <row r="2043" spans="1:15" x14ac:dyDescent="0.25">
      <c r="A2043" s="2" t="s">
        <v>15</v>
      </c>
      <c r="B2043" s="2" t="str">
        <f>"FES1162770149"</f>
        <v>FES1162770149</v>
      </c>
      <c r="C2043" s="2" t="s">
        <v>1266</v>
      </c>
      <c r="D2043" s="2">
        <v>1</v>
      </c>
      <c r="E2043" s="2" t="str">
        <f>"2170755285"</f>
        <v>2170755285</v>
      </c>
      <c r="F2043" s="2" t="s">
        <v>17</v>
      </c>
      <c r="G2043" s="2" t="s">
        <v>18</v>
      </c>
      <c r="H2043" s="2" t="s">
        <v>19</v>
      </c>
      <c r="I2043" s="2" t="s">
        <v>111</v>
      </c>
      <c r="J2043" s="2" t="s">
        <v>1227</v>
      </c>
      <c r="K2043" s="2" t="s">
        <v>1353</v>
      </c>
      <c r="L2043" s="3">
        <v>0.70138888888888884</v>
      </c>
      <c r="M2043" s="2" t="s">
        <v>1543</v>
      </c>
      <c r="N2043" s="2" t="s">
        <v>500</v>
      </c>
      <c r="O2043" s="2"/>
    </row>
    <row r="2044" spans="1:15" x14ac:dyDescent="0.25">
      <c r="A2044" s="2" t="s">
        <v>15</v>
      </c>
      <c r="B2044" s="2" t="str">
        <f>"FES1162770207"</f>
        <v>FES1162770207</v>
      </c>
      <c r="C2044" s="2" t="s">
        <v>1266</v>
      </c>
      <c r="D2044" s="2">
        <v>1</v>
      </c>
      <c r="E2044" s="2" t="str">
        <f>"2170757421"</f>
        <v>2170757421</v>
      </c>
      <c r="F2044" s="2" t="s">
        <v>17</v>
      </c>
      <c r="G2044" s="2" t="s">
        <v>18</v>
      </c>
      <c r="H2044" s="2" t="s">
        <v>18</v>
      </c>
      <c r="I2044" s="2" t="s">
        <v>290</v>
      </c>
      <c r="J2044" s="2" t="s">
        <v>1294</v>
      </c>
      <c r="K2044" s="2" t="s">
        <v>1353</v>
      </c>
      <c r="L2044" s="3">
        <v>0.40416666666666662</v>
      </c>
      <c r="M2044" s="2" t="s">
        <v>1186</v>
      </c>
      <c r="N2044" s="2" t="s">
        <v>500</v>
      </c>
      <c r="O2044" s="2"/>
    </row>
    <row r="2045" spans="1:15" x14ac:dyDescent="0.25">
      <c r="A2045" s="2" t="s">
        <v>15</v>
      </c>
      <c r="B2045" s="2" t="str">
        <f>"FES1162770192"</f>
        <v>FES1162770192</v>
      </c>
      <c r="C2045" s="2" t="s">
        <v>1266</v>
      </c>
      <c r="D2045" s="2">
        <v>1</v>
      </c>
      <c r="E2045" s="2" t="str">
        <f>"2170757396"</f>
        <v>2170757396</v>
      </c>
      <c r="F2045" s="2" t="s">
        <v>17</v>
      </c>
      <c r="G2045" s="2" t="s">
        <v>18</v>
      </c>
      <c r="H2045" s="2" t="s">
        <v>25</v>
      </c>
      <c r="I2045" s="2" t="s">
        <v>39</v>
      </c>
      <c r="J2045" s="2" t="s">
        <v>40</v>
      </c>
      <c r="K2045" s="2" t="s">
        <v>1353</v>
      </c>
      <c r="L2045" s="3">
        <v>0.43402777777777773</v>
      </c>
      <c r="M2045" s="2" t="s">
        <v>1464</v>
      </c>
      <c r="N2045" s="2" t="s">
        <v>500</v>
      </c>
      <c r="O2045" s="2"/>
    </row>
    <row r="2046" spans="1:15" x14ac:dyDescent="0.25">
      <c r="A2046" s="2" t="s">
        <v>15</v>
      </c>
      <c r="B2046" s="2" t="str">
        <f>"FES1162769439"</f>
        <v>FES1162769439</v>
      </c>
      <c r="C2046" s="2" t="s">
        <v>1266</v>
      </c>
      <c r="D2046" s="2">
        <v>1</v>
      </c>
      <c r="E2046" s="2" t="str">
        <f>"2170756919"</f>
        <v>2170756919</v>
      </c>
      <c r="F2046" s="2" t="s">
        <v>17</v>
      </c>
      <c r="G2046" s="2" t="s">
        <v>18</v>
      </c>
      <c r="H2046" s="2" t="s">
        <v>19</v>
      </c>
      <c r="I2046" s="2" t="s">
        <v>111</v>
      </c>
      <c r="J2046" s="2" t="s">
        <v>656</v>
      </c>
      <c r="K2046" s="2" t="s">
        <v>1353</v>
      </c>
      <c r="L2046" s="3">
        <v>0.4368055555555555</v>
      </c>
      <c r="M2046" s="2" t="s">
        <v>1544</v>
      </c>
      <c r="N2046" s="2" t="s">
        <v>500</v>
      </c>
      <c r="O2046" s="2"/>
    </row>
    <row r="2047" spans="1:15" x14ac:dyDescent="0.25">
      <c r="A2047" s="2" t="s">
        <v>15</v>
      </c>
      <c r="B2047" s="2" t="str">
        <f>"FES1162770124"</f>
        <v>FES1162770124</v>
      </c>
      <c r="C2047" s="2" t="s">
        <v>1266</v>
      </c>
      <c r="D2047" s="2">
        <v>1</v>
      </c>
      <c r="E2047" s="2" t="str">
        <f>"2170757356"</f>
        <v>2170757356</v>
      </c>
      <c r="F2047" s="2" t="s">
        <v>17</v>
      </c>
      <c r="G2047" s="2" t="s">
        <v>18</v>
      </c>
      <c r="H2047" s="2" t="s">
        <v>18</v>
      </c>
      <c r="I2047" s="2" t="s">
        <v>57</v>
      </c>
      <c r="J2047" s="2" t="s">
        <v>119</v>
      </c>
      <c r="K2047" s="2" t="s">
        <v>1353</v>
      </c>
      <c r="L2047" s="3">
        <v>0.36944444444444446</v>
      </c>
      <c r="M2047" s="2" t="s">
        <v>230</v>
      </c>
      <c r="N2047" s="2" t="s">
        <v>500</v>
      </c>
      <c r="O2047" s="2"/>
    </row>
    <row r="2048" spans="1:15" x14ac:dyDescent="0.25">
      <c r="A2048" s="2" t="s">
        <v>15</v>
      </c>
      <c r="B2048" s="2" t="str">
        <f>"FES1162769916"</f>
        <v>FES1162769916</v>
      </c>
      <c r="C2048" s="2" t="s">
        <v>1266</v>
      </c>
      <c r="D2048" s="2">
        <v>1</v>
      </c>
      <c r="E2048" s="2" t="str">
        <f>"2170753867"</f>
        <v>2170753867</v>
      </c>
      <c r="F2048" s="2" t="s">
        <v>17</v>
      </c>
      <c r="G2048" s="2" t="s">
        <v>18</v>
      </c>
      <c r="H2048" s="2" t="s">
        <v>19</v>
      </c>
      <c r="I2048" s="2" t="s">
        <v>73</v>
      </c>
      <c r="J2048" s="2" t="s">
        <v>76</v>
      </c>
      <c r="K2048" s="2" t="s">
        <v>1353</v>
      </c>
      <c r="L2048" s="3">
        <v>0.40486111111111112</v>
      </c>
      <c r="M2048" s="2" t="s">
        <v>1067</v>
      </c>
      <c r="N2048" s="2" t="s">
        <v>500</v>
      </c>
      <c r="O2048" s="2"/>
    </row>
    <row r="2049" spans="1:15" x14ac:dyDescent="0.25">
      <c r="A2049" s="2" t="s">
        <v>15</v>
      </c>
      <c r="B2049" s="2" t="str">
        <f>"FES1162769516"</f>
        <v>FES1162769516</v>
      </c>
      <c r="C2049" s="2" t="s">
        <v>1266</v>
      </c>
      <c r="D2049" s="2">
        <v>1</v>
      </c>
      <c r="E2049" s="2" t="str">
        <f>"2170755540"</f>
        <v>2170755540</v>
      </c>
      <c r="F2049" s="2" t="s">
        <v>17</v>
      </c>
      <c r="G2049" s="2" t="s">
        <v>18</v>
      </c>
      <c r="H2049" s="2" t="s">
        <v>19</v>
      </c>
      <c r="I2049" s="2" t="s">
        <v>111</v>
      </c>
      <c r="J2049" s="2" t="s">
        <v>1220</v>
      </c>
      <c r="K2049" s="2" t="s">
        <v>1353</v>
      </c>
      <c r="L2049" s="3">
        <v>0.40486111111111112</v>
      </c>
      <c r="M2049" s="2" t="s">
        <v>572</v>
      </c>
      <c r="N2049" s="2" t="s">
        <v>500</v>
      </c>
      <c r="O2049" s="2"/>
    </row>
    <row r="2050" spans="1:15" x14ac:dyDescent="0.25">
      <c r="A2050" s="2" t="s">
        <v>15</v>
      </c>
      <c r="B2050" s="2" t="str">
        <f>"FES1162770154"</f>
        <v>FES1162770154</v>
      </c>
      <c r="C2050" s="2" t="s">
        <v>1266</v>
      </c>
      <c r="D2050" s="2">
        <v>1</v>
      </c>
      <c r="E2050" s="2" t="str">
        <f>"2170757387"</f>
        <v>2170757387</v>
      </c>
      <c r="F2050" s="2" t="s">
        <v>17</v>
      </c>
      <c r="G2050" s="2" t="s">
        <v>18</v>
      </c>
      <c r="H2050" s="2" t="s">
        <v>18</v>
      </c>
      <c r="I2050" s="2" t="s">
        <v>46</v>
      </c>
      <c r="J2050" s="2" t="s">
        <v>59</v>
      </c>
      <c r="K2050" s="2" t="s">
        <v>1353</v>
      </c>
      <c r="L2050" s="3">
        <v>0.4375</v>
      </c>
      <c r="M2050" s="2" t="s">
        <v>559</v>
      </c>
      <c r="N2050" s="2" t="s">
        <v>500</v>
      </c>
      <c r="O2050" s="2"/>
    </row>
    <row r="2051" spans="1:15" x14ac:dyDescent="0.25">
      <c r="A2051" s="2" t="s">
        <v>15</v>
      </c>
      <c r="B2051" s="2" t="str">
        <f>"FES1162769467"</f>
        <v>FES1162769467</v>
      </c>
      <c r="C2051" s="2" t="s">
        <v>1266</v>
      </c>
      <c r="D2051" s="2">
        <v>1</v>
      </c>
      <c r="E2051" s="2" t="str">
        <f>"2170753868"</f>
        <v>2170753868</v>
      </c>
      <c r="F2051" s="2" t="s">
        <v>17</v>
      </c>
      <c r="G2051" s="2" t="s">
        <v>18</v>
      </c>
      <c r="H2051" s="2" t="s">
        <v>19</v>
      </c>
      <c r="I2051" s="2" t="s">
        <v>73</v>
      </c>
      <c r="J2051" s="2" t="s">
        <v>76</v>
      </c>
      <c r="K2051" s="2" t="s">
        <v>1353</v>
      </c>
      <c r="L2051" s="3">
        <v>0.40486111111111112</v>
      </c>
      <c r="M2051" s="2" t="s">
        <v>1067</v>
      </c>
      <c r="N2051" s="2" t="s">
        <v>500</v>
      </c>
      <c r="O2051" s="2"/>
    </row>
    <row r="2052" spans="1:15" x14ac:dyDescent="0.25">
      <c r="A2052" s="2" t="s">
        <v>15</v>
      </c>
      <c r="B2052" s="2" t="str">
        <f>"FES1162770167"</f>
        <v>FES1162770167</v>
      </c>
      <c r="C2052" s="2" t="s">
        <v>1266</v>
      </c>
      <c r="D2052" s="2">
        <v>1</v>
      </c>
      <c r="E2052" s="2" t="str">
        <f>"2170757399"</f>
        <v>2170757399</v>
      </c>
      <c r="F2052" s="2" t="s">
        <v>17</v>
      </c>
      <c r="G2052" s="2" t="s">
        <v>18</v>
      </c>
      <c r="H2052" s="2" t="s">
        <v>88</v>
      </c>
      <c r="I2052" s="2" t="s">
        <v>109</v>
      </c>
      <c r="J2052" s="2" t="s">
        <v>1432</v>
      </c>
      <c r="K2052" s="2" t="s">
        <v>1353</v>
      </c>
      <c r="L2052" s="3">
        <v>0.43472222222222223</v>
      </c>
      <c r="M2052" s="2" t="s">
        <v>1545</v>
      </c>
      <c r="N2052" s="2" t="s">
        <v>500</v>
      </c>
      <c r="O2052" s="2"/>
    </row>
    <row r="2053" spans="1:15" x14ac:dyDescent="0.25">
      <c r="A2053" s="2" t="s">
        <v>15</v>
      </c>
      <c r="B2053" s="2" t="str">
        <f>"FES1162769484"</f>
        <v>FES1162769484</v>
      </c>
      <c r="C2053" s="2" t="s">
        <v>1266</v>
      </c>
      <c r="D2053" s="2">
        <v>1</v>
      </c>
      <c r="E2053" s="2" t="str">
        <f>"2170754775"</f>
        <v>2170754775</v>
      </c>
      <c r="F2053" s="2" t="s">
        <v>17</v>
      </c>
      <c r="G2053" s="2" t="s">
        <v>18</v>
      </c>
      <c r="H2053" s="2" t="s">
        <v>18</v>
      </c>
      <c r="I2053" s="2" t="s">
        <v>157</v>
      </c>
      <c r="J2053" s="2" t="s">
        <v>158</v>
      </c>
      <c r="K2053" s="2" t="s">
        <v>1353</v>
      </c>
      <c r="L2053" s="3">
        <v>0.4284722222222222</v>
      </c>
      <c r="M2053" s="2" t="s">
        <v>253</v>
      </c>
      <c r="N2053" s="2" t="s">
        <v>500</v>
      </c>
      <c r="O2053" s="2"/>
    </row>
    <row r="2054" spans="1:15" x14ac:dyDescent="0.25">
      <c r="A2054" s="2" t="s">
        <v>15</v>
      </c>
      <c r="B2054" s="2" t="str">
        <f>"FES1162770123"</f>
        <v>FES1162770123</v>
      </c>
      <c r="C2054" s="2" t="s">
        <v>1266</v>
      </c>
      <c r="D2054" s="2">
        <v>1</v>
      </c>
      <c r="E2054" s="2" t="str">
        <f>"2170757355"</f>
        <v>2170757355</v>
      </c>
      <c r="F2054" s="2" t="s">
        <v>17</v>
      </c>
      <c r="G2054" s="2" t="s">
        <v>18</v>
      </c>
      <c r="H2054" s="2" t="s">
        <v>1433</v>
      </c>
      <c r="I2054" s="2" t="s">
        <v>1434</v>
      </c>
      <c r="J2054" s="2" t="s">
        <v>1435</v>
      </c>
      <c r="K2054" s="2" t="s">
        <v>1353</v>
      </c>
      <c r="L2054" s="3">
        <v>0.37222222222222223</v>
      </c>
      <c r="M2054" s="2" t="s">
        <v>542</v>
      </c>
      <c r="N2054" s="2" t="s">
        <v>500</v>
      </c>
      <c r="O2054" s="2"/>
    </row>
    <row r="2055" spans="1:15" x14ac:dyDescent="0.25">
      <c r="A2055" s="2" t="s">
        <v>15</v>
      </c>
      <c r="B2055" s="2" t="str">
        <f>"FES1162770202"</f>
        <v>FES1162770202</v>
      </c>
      <c r="C2055" s="2" t="s">
        <v>1266</v>
      </c>
      <c r="D2055" s="2">
        <v>1</v>
      </c>
      <c r="E2055" s="2" t="str">
        <f>"2170757431"</f>
        <v>2170757431</v>
      </c>
      <c r="F2055" s="2" t="s">
        <v>205</v>
      </c>
      <c r="G2055" s="2" t="s">
        <v>206</v>
      </c>
      <c r="H2055" s="2" t="s">
        <v>1436</v>
      </c>
      <c r="I2055" s="2" t="s">
        <v>1437</v>
      </c>
      <c r="J2055" s="2" t="s">
        <v>1438</v>
      </c>
      <c r="K2055" s="2" t="s">
        <v>1506</v>
      </c>
      <c r="L2055" s="3">
        <v>0.4236111111111111</v>
      </c>
      <c r="M2055" s="2" t="s">
        <v>1546</v>
      </c>
      <c r="N2055" s="2" t="s">
        <v>500</v>
      </c>
      <c r="O2055" s="2"/>
    </row>
    <row r="2056" spans="1:15" x14ac:dyDescent="0.25">
      <c r="A2056" s="2" t="s">
        <v>15</v>
      </c>
      <c r="B2056" s="2" t="str">
        <f>"FES1162769944"</f>
        <v>FES1162769944</v>
      </c>
      <c r="C2056" s="2" t="s">
        <v>1266</v>
      </c>
      <c r="D2056" s="2">
        <v>1</v>
      </c>
      <c r="E2056" s="2" t="str">
        <f>"2170755413"</f>
        <v>2170755413</v>
      </c>
      <c r="F2056" s="2" t="s">
        <v>17</v>
      </c>
      <c r="G2056" s="2" t="s">
        <v>18</v>
      </c>
      <c r="H2056" s="2" t="s">
        <v>19</v>
      </c>
      <c r="I2056" s="2" t="s">
        <v>20</v>
      </c>
      <c r="J2056" s="2" t="s">
        <v>21</v>
      </c>
      <c r="K2056" s="2" t="s">
        <v>1353</v>
      </c>
      <c r="L2056" s="3">
        <v>0.38680555555555557</v>
      </c>
      <c r="M2056" s="2" t="s">
        <v>263</v>
      </c>
      <c r="N2056" s="2" t="s">
        <v>500</v>
      </c>
      <c r="O2056" s="2"/>
    </row>
    <row r="2057" spans="1:15" x14ac:dyDescent="0.25">
      <c r="A2057" s="2" t="s">
        <v>15</v>
      </c>
      <c r="B2057" s="2" t="str">
        <f>"FES1162769917"</f>
        <v>FES1162769917</v>
      </c>
      <c r="C2057" s="2" t="s">
        <v>1266</v>
      </c>
      <c r="D2057" s="2">
        <v>1</v>
      </c>
      <c r="E2057" s="2" t="str">
        <f>"2170754465"</f>
        <v>2170754465</v>
      </c>
      <c r="F2057" s="2" t="s">
        <v>17</v>
      </c>
      <c r="G2057" s="2" t="s">
        <v>18</v>
      </c>
      <c r="H2057" s="2" t="s">
        <v>19</v>
      </c>
      <c r="I2057" s="2" t="s">
        <v>73</v>
      </c>
      <c r="J2057" s="2" t="s">
        <v>76</v>
      </c>
      <c r="K2057" s="2" t="s">
        <v>1353</v>
      </c>
      <c r="L2057" s="3">
        <v>0.40486111111111112</v>
      </c>
      <c r="M2057" s="2" t="s">
        <v>1067</v>
      </c>
      <c r="N2057" s="2" t="s">
        <v>500</v>
      </c>
      <c r="O2057" s="2"/>
    </row>
    <row r="2058" spans="1:15" x14ac:dyDescent="0.25">
      <c r="A2058" s="2" t="s">
        <v>15</v>
      </c>
      <c r="B2058" s="2" t="str">
        <f>"FES1162770111"</f>
        <v>FES1162770111</v>
      </c>
      <c r="C2058" s="2" t="s">
        <v>1266</v>
      </c>
      <c r="D2058" s="2">
        <v>1</v>
      </c>
      <c r="E2058" s="2" t="str">
        <f>"2170756630"</f>
        <v>2170756630</v>
      </c>
      <c r="F2058" s="2" t="s">
        <v>205</v>
      </c>
      <c r="G2058" s="2" t="s">
        <v>206</v>
      </c>
      <c r="H2058" s="2" t="s">
        <v>363</v>
      </c>
      <c r="I2058" s="2" t="s">
        <v>1439</v>
      </c>
      <c r="J2058" s="2" t="s">
        <v>1440</v>
      </c>
      <c r="K2058" s="2" t="s">
        <v>1353</v>
      </c>
      <c r="L2058" s="3">
        <v>0.39583333333333331</v>
      </c>
      <c r="M2058" s="2" t="s">
        <v>1547</v>
      </c>
      <c r="N2058" s="2" t="s">
        <v>500</v>
      </c>
      <c r="O2058" s="2"/>
    </row>
    <row r="2059" spans="1:15" x14ac:dyDescent="0.25">
      <c r="A2059" s="2" t="s">
        <v>15</v>
      </c>
      <c r="B2059" s="2" t="str">
        <f>"FES1162769938"</f>
        <v>FES1162769938</v>
      </c>
      <c r="C2059" s="2" t="s">
        <v>1266</v>
      </c>
      <c r="D2059" s="2">
        <v>1</v>
      </c>
      <c r="E2059" s="2" t="str">
        <f>"2170755350"</f>
        <v>2170755350</v>
      </c>
      <c r="F2059" s="2" t="s">
        <v>17</v>
      </c>
      <c r="G2059" s="2" t="s">
        <v>18</v>
      </c>
      <c r="H2059" s="2" t="s">
        <v>120</v>
      </c>
      <c r="I2059" s="2" t="s">
        <v>121</v>
      </c>
      <c r="J2059" s="2" t="s">
        <v>122</v>
      </c>
      <c r="K2059" s="2" t="s">
        <v>1353</v>
      </c>
      <c r="L2059" s="3">
        <v>0.58333333333333337</v>
      </c>
      <c r="M2059" s="2" t="s">
        <v>1548</v>
      </c>
      <c r="N2059" s="2" t="s">
        <v>500</v>
      </c>
      <c r="O2059" s="2"/>
    </row>
    <row r="2060" spans="1:15" x14ac:dyDescent="0.25">
      <c r="A2060" s="2" t="s">
        <v>15</v>
      </c>
      <c r="B2060" s="2" t="str">
        <f>"FES1162770073"</f>
        <v>FES1162770073</v>
      </c>
      <c r="C2060" s="2" t="s">
        <v>1266</v>
      </c>
      <c r="D2060" s="2">
        <v>1</v>
      </c>
      <c r="E2060" s="2" t="str">
        <f>"2170757312"</f>
        <v>2170757312</v>
      </c>
      <c r="F2060" s="2" t="s">
        <v>17</v>
      </c>
      <c r="G2060" s="2" t="s">
        <v>18</v>
      </c>
      <c r="H2060" s="2" t="s">
        <v>36</v>
      </c>
      <c r="I2060" s="2" t="s">
        <v>134</v>
      </c>
      <c r="J2060" s="2" t="s">
        <v>135</v>
      </c>
      <c r="K2060" s="2" t="s">
        <v>1353</v>
      </c>
      <c r="L2060" s="3">
        <v>0.40625</v>
      </c>
      <c r="M2060" s="2" t="s">
        <v>744</v>
      </c>
      <c r="N2060" s="2" t="s">
        <v>500</v>
      </c>
      <c r="O2060" s="2"/>
    </row>
    <row r="2061" spans="1:15" x14ac:dyDescent="0.25">
      <c r="A2061" s="2" t="s">
        <v>15</v>
      </c>
      <c r="B2061" s="2" t="str">
        <f>"FES1162769766"</f>
        <v>FES1162769766</v>
      </c>
      <c r="C2061" s="2" t="s">
        <v>1266</v>
      </c>
      <c r="D2061" s="2">
        <v>1</v>
      </c>
      <c r="E2061" s="2" t="str">
        <f>"2170756986"</f>
        <v>2170756986</v>
      </c>
      <c r="F2061" s="2" t="s">
        <v>17</v>
      </c>
      <c r="G2061" s="2" t="s">
        <v>18</v>
      </c>
      <c r="H2061" s="2" t="s">
        <v>36</v>
      </c>
      <c r="I2061" s="2" t="s">
        <v>37</v>
      </c>
      <c r="J2061" s="2" t="s">
        <v>378</v>
      </c>
      <c r="K2061" s="2" t="s">
        <v>1353</v>
      </c>
      <c r="L2061" s="3">
        <v>0.40277777777777773</v>
      </c>
      <c r="M2061" s="2" t="s">
        <v>379</v>
      </c>
      <c r="N2061" s="2" t="s">
        <v>500</v>
      </c>
      <c r="O2061" s="2"/>
    </row>
    <row r="2062" spans="1:15" x14ac:dyDescent="0.25">
      <c r="A2062" s="2" t="s">
        <v>15</v>
      </c>
      <c r="B2062" s="2" t="str">
        <f>"FES1162770127"</f>
        <v>FES1162770127</v>
      </c>
      <c r="C2062" s="2" t="s">
        <v>1266</v>
      </c>
      <c r="D2062" s="2">
        <v>1</v>
      </c>
      <c r="E2062" s="2" t="str">
        <f>"2170757363"</f>
        <v>2170757363</v>
      </c>
      <c r="F2062" s="2" t="s">
        <v>17</v>
      </c>
      <c r="G2062" s="2" t="s">
        <v>18</v>
      </c>
      <c r="H2062" s="2" t="s">
        <v>25</v>
      </c>
      <c r="I2062" s="2" t="s">
        <v>42</v>
      </c>
      <c r="J2062" s="2" t="s">
        <v>1441</v>
      </c>
      <c r="K2062" s="2" t="s">
        <v>1353</v>
      </c>
      <c r="L2062" s="3">
        <v>0.6743055555555556</v>
      </c>
      <c r="M2062" s="2" t="s">
        <v>1549</v>
      </c>
      <c r="N2062" s="2" t="s">
        <v>500</v>
      </c>
      <c r="O2062" s="2"/>
    </row>
    <row r="2063" spans="1:15" x14ac:dyDescent="0.25">
      <c r="A2063" s="2" t="s">
        <v>15</v>
      </c>
      <c r="B2063" s="2" t="str">
        <f>"FES1162770104"</f>
        <v>FES1162770104</v>
      </c>
      <c r="C2063" s="2" t="s">
        <v>1266</v>
      </c>
      <c r="D2063" s="2">
        <v>1</v>
      </c>
      <c r="E2063" s="2" t="str">
        <f>"2170755901"</f>
        <v>2170755901</v>
      </c>
      <c r="F2063" s="2" t="s">
        <v>17</v>
      </c>
      <c r="G2063" s="2" t="s">
        <v>18</v>
      </c>
      <c r="H2063" s="2" t="s">
        <v>25</v>
      </c>
      <c r="I2063" s="2" t="s">
        <v>26</v>
      </c>
      <c r="J2063" s="2" t="s">
        <v>1442</v>
      </c>
      <c r="K2063" s="2" t="s">
        <v>1353</v>
      </c>
      <c r="L2063" s="3">
        <v>0.46388888888888885</v>
      </c>
      <c r="M2063" s="2" t="s">
        <v>1550</v>
      </c>
      <c r="N2063" s="2" t="s">
        <v>500</v>
      </c>
      <c r="O2063" s="2"/>
    </row>
    <row r="2064" spans="1:15" x14ac:dyDescent="0.25">
      <c r="A2064" s="2" t="s">
        <v>15</v>
      </c>
      <c r="B2064" s="2" t="str">
        <f>"FES1162769800"</f>
        <v>FES1162769800</v>
      </c>
      <c r="C2064" s="2" t="s">
        <v>1266</v>
      </c>
      <c r="D2064" s="2">
        <v>1</v>
      </c>
      <c r="E2064" s="2" t="str">
        <f>"2170757047"</f>
        <v>2170757047</v>
      </c>
      <c r="F2064" s="2" t="s">
        <v>17</v>
      </c>
      <c r="G2064" s="2" t="s">
        <v>18</v>
      </c>
      <c r="H2064" s="2" t="s">
        <v>33</v>
      </c>
      <c r="I2064" s="2" t="s">
        <v>34</v>
      </c>
      <c r="J2064" s="2" t="s">
        <v>69</v>
      </c>
      <c r="K2064" s="2" t="s">
        <v>1353</v>
      </c>
      <c r="L2064" s="3">
        <v>0.43333333333333335</v>
      </c>
      <c r="M2064" s="2" t="s">
        <v>1551</v>
      </c>
      <c r="N2064" s="2" t="s">
        <v>500</v>
      </c>
      <c r="O2064" s="2"/>
    </row>
    <row r="2065" spans="1:15" x14ac:dyDescent="0.25">
      <c r="A2065" s="2" t="s">
        <v>15</v>
      </c>
      <c r="B2065" s="2" t="str">
        <f>"FES1162770184"</f>
        <v>FES1162770184</v>
      </c>
      <c r="C2065" s="2" t="s">
        <v>1266</v>
      </c>
      <c r="D2065" s="2">
        <v>1</v>
      </c>
      <c r="E2065" s="2" t="str">
        <f>"2170757426"</f>
        <v>2170757426</v>
      </c>
      <c r="F2065" s="2" t="s">
        <v>17</v>
      </c>
      <c r="G2065" s="2" t="s">
        <v>18</v>
      </c>
      <c r="H2065" s="2" t="s">
        <v>25</v>
      </c>
      <c r="I2065" s="2" t="s">
        <v>125</v>
      </c>
      <c r="J2065" s="2" t="s">
        <v>126</v>
      </c>
      <c r="K2065" s="2" t="s">
        <v>1353</v>
      </c>
      <c r="L2065" s="3">
        <v>0.53680555555555554</v>
      </c>
      <c r="M2065" s="2" t="s">
        <v>1474</v>
      </c>
      <c r="N2065" s="2" t="s">
        <v>500</v>
      </c>
      <c r="O2065" s="2"/>
    </row>
    <row r="2066" spans="1:15" x14ac:dyDescent="0.25">
      <c r="A2066" s="2" t="s">
        <v>15</v>
      </c>
      <c r="B2066" s="2" t="str">
        <f>"FES1162770153"</f>
        <v>FES1162770153</v>
      </c>
      <c r="C2066" s="2" t="s">
        <v>1266</v>
      </c>
      <c r="D2066" s="2">
        <v>1</v>
      </c>
      <c r="E2066" s="2" t="str">
        <f>"2170757386"</f>
        <v>2170757386</v>
      </c>
      <c r="F2066" s="2" t="s">
        <v>17</v>
      </c>
      <c r="G2066" s="2" t="s">
        <v>18</v>
      </c>
      <c r="H2066" s="2" t="s">
        <v>25</v>
      </c>
      <c r="I2066" s="2" t="s">
        <v>26</v>
      </c>
      <c r="J2066" s="2" t="s">
        <v>100</v>
      </c>
      <c r="K2066" s="2" t="s">
        <v>1353</v>
      </c>
      <c r="L2066" s="3">
        <v>0.33333333333333331</v>
      </c>
      <c r="M2066" s="2" t="s">
        <v>1473</v>
      </c>
      <c r="N2066" s="2" t="s">
        <v>500</v>
      </c>
      <c r="O2066" s="2"/>
    </row>
    <row r="2067" spans="1:15" x14ac:dyDescent="0.25">
      <c r="A2067" s="2" t="s">
        <v>15</v>
      </c>
      <c r="B2067" s="2" t="str">
        <f>"FES1162770224"</f>
        <v>FES1162770224</v>
      </c>
      <c r="C2067" s="2" t="s">
        <v>1266</v>
      </c>
      <c r="D2067" s="2">
        <v>1</v>
      </c>
      <c r="E2067" s="2" t="str">
        <f>"2170757037"</f>
        <v>2170757037</v>
      </c>
      <c r="F2067" s="2" t="s">
        <v>17</v>
      </c>
      <c r="G2067" s="2" t="s">
        <v>18</v>
      </c>
      <c r="H2067" s="2" t="s">
        <v>25</v>
      </c>
      <c r="I2067" s="2" t="s">
        <v>26</v>
      </c>
      <c r="J2067" s="2" t="s">
        <v>1443</v>
      </c>
      <c r="K2067" s="2" t="s">
        <v>1353</v>
      </c>
      <c r="L2067" s="3">
        <v>0.34097222222222223</v>
      </c>
      <c r="M2067" s="2" t="s">
        <v>1552</v>
      </c>
      <c r="N2067" s="2" t="s">
        <v>500</v>
      </c>
      <c r="O2067" s="2"/>
    </row>
    <row r="2068" spans="1:15" x14ac:dyDescent="0.25">
      <c r="A2068" s="2" t="s">
        <v>15</v>
      </c>
      <c r="B2068" s="2" t="str">
        <f>"FES1162770211"</f>
        <v>FES1162770211</v>
      </c>
      <c r="C2068" s="2" t="s">
        <v>1266</v>
      </c>
      <c r="D2068" s="2">
        <v>1</v>
      </c>
      <c r="E2068" s="2" t="str">
        <f>"2170757458"</f>
        <v>2170757458</v>
      </c>
      <c r="F2068" s="2" t="s">
        <v>17</v>
      </c>
      <c r="G2068" s="2" t="s">
        <v>18</v>
      </c>
      <c r="H2068" s="2" t="s">
        <v>25</v>
      </c>
      <c r="I2068" s="2" t="s">
        <v>345</v>
      </c>
      <c r="J2068" s="2" t="s">
        <v>346</v>
      </c>
      <c r="K2068" s="2" t="s">
        <v>1506</v>
      </c>
      <c r="L2068" s="3">
        <v>0.41666666666666669</v>
      </c>
      <c r="M2068" s="2" t="s">
        <v>1553</v>
      </c>
      <c r="N2068" s="2" t="s">
        <v>500</v>
      </c>
      <c r="O2068" s="2"/>
    </row>
    <row r="2069" spans="1:15" x14ac:dyDescent="0.25">
      <c r="A2069" s="2" t="s">
        <v>15</v>
      </c>
      <c r="B2069" s="2" t="str">
        <f>"FES1162770119"</f>
        <v>FES1162770119</v>
      </c>
      <c r="C2069" s="2" t="s">
        <v>1266</v>
      </c>
      <c r="D2069" s="2">
        <v>1</v>
      </c>
      <c r="E2069" s="2" t="str">
        <f>"2170757246"</f>
        <v>2170757246</v>
      </c>
      <c r="F2069" s="2" t="s">
        <v>17</v>
      </c>
      <c r="G2069" s="2" t="s">
        <v>18</v>
      </c>
      <c r="H2069" s="2" t="s">
        <v>25</v>
      </c>
      <c r="I2069" s="2" t="s">
        <v>345</v>
      </c>
      <c r="J2069" s="2" t="s">
        <v>346</v>
      </c>
      <c r="K2069" s="2" t="s">
        <v>1506</v>
      </c>
      <c r="L2069" s="3">
        <v>0.41666666666666669</v>
      </c>
      <c r="M2069" s="2" t="s">
        <v>1553</v>
      </c>
      <c r="N2069" s="2" t="s">
        <v>500</v>
      </c>
      <c r="O2069" s="2"/>
    </row>
    <row r="2070" spans="1:15" x14ac:dyDescent="0.25">
      <c r="A2070" s="2" t="s">
        <v>15</v>
      </c>
      <c r="B2070" s="2" t="str">
        <f>"FES1162770165"</f>
        <v>FES1162770165</v>
      </c>
      <c r="C2070" s="2" t="s">
        <v>1266</v>
      </c>
      <c r="D2070" s="2">
        <v>1</v>
      </c>
      <c r="E2070" s="2" t="str">
        <f>"2170757397"</f>
        <v>2170757397</v>
      </c>
      <c r="F2070" s="2" t="s">
        <v>17</v>
      </c>
      <c r="G2070" s="2" t="s">
        <v>18</v>
      </c>
      <c r="H2070" s="2" t="s">
        <v>25</v>
      </c>
      <c r="I2070" s="2" t="s">
        <v>26</v>
      </c>
      <c r="J2070" s="2" t="s">
        <v>1444</v>
      </c>
      <c r="K2070" s="2" t="s">
        <v>1353</v>
      </c>
      <c r="L2070" s="3">
        <v>0.43194444444444446</v>
      </c>
      <c r="M2070" s="2" t="s">
        <v>1554</v>
      </c>
      <c r="N2070" s="2" t="s">
        <v>500</v>
      </c>
      <c r="O2070" s="2"/>
    </row>
    <row r="2071" spans="1:15" x14ac:dyDescent="0.25">
      <c r="A2071" s="2" t="s">
        <v>15</v>
      </c>
      <c r="B2071" s="2" t="str">
        <f>"FES1162770195"</f>
        <v>FES1162770195</v>
      </c>
      <c r="C2071" s="2" t="s">
        <v>1266</v>
      </c>
      <c r="D2071" s="2">
        <v>1</v>
      </c>
      <c r="E2071" s="2" t="str">
        <f>"2170757435"</f>
        <v>2170757435</v>
      </c>
      <c r="F2071" s="2" t="s">
        <v>17</v>
      </c>
      <c r="G2071" s="2" t="s">
        <v>18</v>
      </c>
      <c r="H2071" s="2" t="s">
        <v>18</v>
      </c>
      <c r="I2071" s="2" t="s">
        <v>63</v>
      </c>
      <c r="J2071" s="2" t="s">
        <v>93</v>
      </c>
      <c r="K2071" s="2" t="s">
        <v>1353</v>
      </c>
      <c r="L2071" s="3">
        <v>0.34861111111111115</v>
      </c>
      <c r="M2071" s="2" t="s">
        <v>736</v>
      </c>
      <c r="N2071" s="2" t="s">
        <v>500</v>
      </c>
      <c r="O2071" s="2"/>
    </row>
    <row r="2072" spans="1:15" x14ac:dyDescent="0.25">
      <c r="A2072" s="2" t="s">
        <v>15</v>
      </c>
      <c r="B2072" s="2" t="str">
        <f>"FES1162770183"</f>
        <v>FES1162770183</v>
      </c>
      <c r="C2072" s="2" t="s">
        <v>1266</v>
      </c>
      <c r="D2072" s="2">
        <v>1</v>
      </c>
      <c r="E2072" s="2" t="str">
        <f>"2170757425"</f>
        <v>2170757425</v>
      </c>
      <c r="F2072" s="2" t="s">
        <v>17</v>
      </c>
      <c r="G2072" s="2" t="s">
        <v>18</v>
      </c>
      <c r="H2072" s="2" t="s">
        <v>25</v>
      </c>
      <c r="I2072" s="2" t="s">
        <v>125</v>
      </c>
      <c r="J2072" s="2" t="s">
        <v>126</v>
      </c>
      <c r="K2072" s="2" t="s">
        <v>1506</v>
      </c>
      <c r="L2072" s="3">
        <v>0.41666666666666669</v>
      </c>
      <c r="M2072" s="2" t="s">
        <v>1189</v>
      </c>
      <c r="N2072" s="2" t="s">
        <v>500</v>
      </c>
      <c r="O2072" s="2"/>
    </row>
    <row r="2073" spans="1:15" x14ac:dyDescent="0.25">
      <c r="A2073" s="2" t="s">
        <v>15</v>
      </c>
      <c r="B2073" s="2" t="str">
        <f>"FES1162770152"</f>
        <v>FES1162770152</v>
      </c>
      <c r="C2073" s="2" t="s">
        <v>1266</v>
      </c>
      <c r="D2073" s="2">
        <v>1</v>
      </c>
      <c r="E2073" s="2" t="str">
        <f>"2170757385"</f>
        <v>2170757385</v>
      </c>
      <c r="F2073" s="2" t="s">
        <v>17</v>
      </c>
      <c r="G2073" s="2" t="s">
        <v>18</v>
      </c>
      <c r="H2073" s="2" t="s">
        <v>78</v>
      </c>
      <c r="I2073" s="2" t="s">
        <v>79</v>
      </c>
      <c r="J2073" s="2" t="s">
        <v>664</v>
      </c>
      <c r="K2073" s="2" t="s">
        <v>1353</v>
      </c>
      <c r="L2073" s="3">
        <v>0.42499999999999999</v>
      </c>
      <c r="M2073" s="2" t="s">
        <v>1555</v>
      </c>
      <c r="N2073" s="2" t="s">
        <v>500</v>
      </c>
      <c r="O2073" s="2"/>
    </row>
    <row r="2074" spans="1:15" x14ac:dyDescent="0.25">
      <c r="A2074" s="2" t="s">
        <v>15</v>
      </c>
      <c r="B2074" s="2" t="str">
        <f>"FES1162770148"</f>
        <v>FES1162770148</v>
      </c>
      <c r="C2074" s="2" t="s">
        <v>1266</v>
      </c>
      <c r="D2074" s="2">
        <v>1</v>
      </c>
      <c r="E2074" s="2" t="str">
        <f>"2170740051"</f>
        <v>2170740051</v>
      </c>
      <c r="F2074" s="2" t="s">
        <v>17</v>
      </c>
      <c r="G2074" s="2" t="s">
        <v>18</v>
      </c>
      <c r="H2074" s="2" t="s">
        <v>18</v>
      </c>
      <c r="I2074" s="2" t="s">
        <v>116</v>
      </c>
      <c r="J2074" s="2" t="s">
        <v>169</v>
      </c>
      <c r="K2074" s="2" t="s">
        <v>1353</v>
      </c>
      <c r="L2074" s="3">
        <v>0.36249999999999999</v>
      </c>
      <c r="M2074" s="2" t="s">
        <v>172</v>
      </c>
      <c r="N2074" s="2" t="s">
        <v>500</v>
      </c>
      <c r="O2074" s="2"/>
    </row>
    <row r="2075" spans="1:15" x14ac:dyDescent="0.25">
      <c r="A2075" s="2" t="s">
        <v>15</v>
      </c>
      <c r="B2075" s="2" t="str">
        <f>"FES1162769653"</f>
        <v>FES1162769653</v>
      </c>
      <c r="C2075" s="2" t="s">
        <v>1266</v>
      </c>
      <c r="D2075" s="2">
        <v>1</v>
      </c>
      <c r="E2075" s="2" t="str">
        <f>"2170756745"</f>
        <v>2170756745</v>
      </c>
      <c r="F2075" s="2" t="s">
        <v>17</v>
      </c>
      <c r="G2075" s="2" t="s">
        <v>18</v>
      </c>
      <c r="H2075" s="2" t="s">
        <v>18</v>
      </c>
      <c r="I2075" s="2" t="s">
        <v>290</v>
      </c>
      <c r="J2075" s="2" t="s">
        <v>458</v>
      </c>
      <c r="K2075" s="2" t="s">
        <v>1353</v>
      </c>
      <c r="L2075" s="3">
        <v>0.41041666666666665</v>
      </c>
      <c r="M2075" s="2" t="s">
        <v>1556</v>
      </c>
      <c r="N2075" s="2" t="s">
        <v>500</v>
      </c>
      <c r="O2075" s="2"/>
    </row>
    <row r="2076" spans="1:15" x14ac:dyDescent="0.25">
      <c r="A2076" s="2" t="s">
        <v>15</v>
      </c>
      <c r="B2076" s="2" t="str">
        <f>"FES1162770197"</f>
        <v>FES1162770197</v>
      </c>
      <c r="C2076" s="2" t="s">
        <v>1266</v>
      </c>
      <c r="D2076" s="2">
        <v>1</v>
      </c>
      <c r="E2076" s="2" t="str">
        <f>"2170757438"</f>
        <v>2170757438</v>
      </c>
      <c r="F2076" s="2" t="s">
        <v>17</v>
      </c>
      <c r="G2076" s="2" t="s">
        <v>18</v>
      </c>
      <c r="H2076" s="2" t="s">
        <v>25</v>
      </c>
      <c r="I2076" s="2" t="s">
        <v>345</v>
      </c>
      <c r="J2076" s="2" t="s">
        <v>638</v>
      </c>
      <c r="K2076" s="2" t="s">
        <v>1506</v>
      </c>
      <c r="L2076" s="3">
        <v>0.41666666666666669</v>
      </c>
      <c r="M2076" s="2" t="s">
        <v>1557</v>
      </c>
      <c r="N2076" s="2" t="s">
        <v>500</v>
      </c>
      <c r="O2076" s="2"/>
    </row>
    <row r="2077" spans="1:15" x14ac:dyDescent="0.25">
      <c r="A2077" s="2" t="s">
        <v>15</v>
      </c>
      <c r="B2077" s="2" t="str">
        <f>"FES1162770117"</f>
        <v>FES1162770117</v>
      </c>
      <c r="C2077" s="2" t="s">
        <v>1266</v>
      </c>
      <c r="D2077" s="2">
        <v>1</v>
      </c>
      <c r="E2077" s="2" t="str">
        <f>"2170757210"</f>
        <v>2170757210</v>
      </c>
      <c r="F2077" s="2" t="s">
        <v>17</v>
      </c>
      <c r="G2077" s="2" t="s">
        <v>18</v>
      </c>
      <c r="H2077" s="2" t="s">
        <v>78</v>
      </c>
      <c r="I2077" s="2" t="s">
        <v>159</v>
      </c>
      <c r="J2077" s="2" t="s">
        <v>160</v>
      </c>
      <c r="K2077" s="2" t="s">
        <v>1353</v>
      </c>
      <c r="L2077" s="3">
        <v>0.55902777777777779</v>
      </c>
      <c r="M2077" s="2" t="s">
        <v>1558</v>
      </c>
      <c r="N2077" s="2" t="s">
        <v>500</v>
      </c>
      <c r="O2077" s="2"/>
    </row>
    <row r="2078" spans="1:15" x14ac:dyDescent="0.25">
      <c r="A2078" s="2" t="s">
        <v>15</v>
      </c>
      <c r="B2078" s="2" t="str">
        <f>"FES1162770157"</f>
        <v>FES1162770157</v>
      </c>
      <c r="C2078" s="2" t="s">
        <v>1266</v>
      </c>
      <c r="D2078" s="2">
        <v>1</v>
      </c>
      <c r="E2078" s="2" t="str">
        <f>"2170757392"</f>
        <v>2170757392</v>
      </c>
      <c r="F2078" s="2" t="s">
        <v>17</v>
      </c>
      <c r="G2078" s="2" t="s">
        <v>18</v>
      </c>
      <c r="H2078" s="2" t="s">
        <v>25</v>
      </c>
      <c r="I2078" s="2" t="s">
        <v>1445</v>
      </c>
      <c r="J2078" s="2" t="s">
        <v>1446</v>
      </c>
      <c r="K2078" s="2" t="s">
        <v>1353</v>
      </c>
      <c r="L2078" s="3">
        <v>0.4465277777777778</v>
      </c>
      <c r="M2078" s="2" t="s">
        <v>1559</v>
      </c>
      <c r="N2078" s="2" t="s">
        <v>500</v>
      </c>
      <c r="O2078" s="2"/>
    </row>
    <row r="2079" spans="1:15" x14ac:dyDescent="0.25">
      <c r="A2079" s="2" t="s">
        <v>15</v>
      </c>
      <c r="B2079" s="2" t="str">
        <f>"FES1162770166"</f>
        <v>FES1162770166</v>
      </c>
      <c r="C2079" s="2" t="s">
        <v>1266</v>
      </c>
      <c r="D2079" s="2">
        <v>1</v>
      </c>
      <c r="E2079" s="2" t="str">
        <f>"2170757398"</f>
        <v>2170757398</v>
      </c>
      <c r="F2079" s="2" t="s">
        <v>17</v>
      </c>
      <c r="G2079" s="2" t="s">
        <v>18</v>
      </c>
      <c r="H2079" s="2" t="s">
        <v>19</v>
      </c>
      <c r="I2079" s="2" t="s">
        <v>111</v>
      </c>
      <c r="J2079" s="2" t="s">
        <v>384</v>
      </c>
      <c r="K2079" s="2" t="s">
        <v>1353</v>
      </c>
      <c r="L2079" s="3">
        <v>0.46666666666666662</v>
      </c>
      <c r="M2079" s="2" t="s">
        <v>1560</v>
      </c>
      <c r="N2079" s="2" t="s">
        <v>500</v>
      </c>
      <c r="O2079" s="2"/>
    </row>
    <row r="2080" spans="1:15" x14ac:dyDescent="0.25">
      <c r="A2080" s="2" t="s">
        <v>15</v>
      </c>
      <c r="B2080" s="2" t="str">
        <f>"FES1162769958"</f>
        <v>FES1162769958</v>
      </c>
      <c r="C2080" s="2" t="s">
        <v>1266</v>
      </c>
      <c r="D2080" s="2">
        <v>1</v>
      </c>
      <c r="E2080" s="2" t="str">
        <f>"2170755592"</f>
        <v>2170755592</v>
      </c>
      <c r="F2080" s="2" t="s">
        <v>17</v>
      </c>
      <c r="G2080" s="2" t="s">
        <v>18</v>
      </c>
      <c r="H2080" s="2" t="s">
        <v>18</v>
      </c>
      <c r="I2080" s="2" t="s">
        <v>50</v>
      </c>
      <c r="J2080" s="2" t="s">
        <v>285</v>
      </c>
      <c r="K2080" s="2" t="s">
        <v>1353</v>
      </c>
      <c r="L2080" s="3">
        <v>0.33333333333333331</v>
      </c>
      <c r="M2080" s="2" t="s">
        <v>808</v>
      </c>
      <c r="N2080" s="2" t="s">
        <v>500</v>
      </c>
      <c r="O2080" s="2"/>
    </row>
    <row r="2081" spans="1:15" x14ac:dyDescent="0.25">
      <c r="A2081" s="2" t="s">
        <v>15</v>
      </c>
      <c r="B2081" s="2" t="str">
        <f>"FES1162770203"</f>
        <v>FES1162770203</v>
      </c>
      <c r="C2081" s="2" t="s">
        <v>1266</v>
      </c>
      <c r="D2081" s="2">
        <v>1</v>
      </c>
      <c r="E2081" s="2" t="str">
        <f>"2170757443"</f>
        <v>2170757443</v>
      </c>
      <c r="F2081" s="2" t="s">
        <v>17</v>
      </c>
      <c r="G2081" s="2" t="s">
        <v>18</v>
      </c>
      <c r="H2081" s="2" t="s">
        <v>18</v>
      </c>
      <c r="I2081" s="2" t="s">
        <v>63</v>
      </c>
      <c r="J2081" s="2" t="s">
        <v>93</v>
      </c>
      <c r="K2081" s="2" t="s">
        <v>1353</v>
      </c>
      <c r="L2081" s="3">
        <v>0.34722222222222227</v>
      </c>
      <c r="M2081" s="2" t="s">
        <v>736</v>
      </c>
      <c r="N2081" s="2" t="s">
        <v>500</v>
      </c>
      <c r="O2081" s="2"/>
    </row>
    <row r="2082" spans="1:15" x14ac:dyDescent="0.25">
      <c r="A2082" s="2" t="s">
        <v>15</v>
      </c>
      <c r="B2082" s="2" t="str">
        <f>"FES1162770060"</f>
        <v>FES1162770060</v>
      </c>
      <c r="C2082" s="2" t="s">
        <v>1266</v>
      </c>
      <c r="D2082" s="2">
        <v>1</v>
      </c>
      <c r="E2082" s="2" t="str">
        <f>"2170756836"</f>
        <v>2170756836</v>
      </c>
      <c r="F2082" s="2" t="s">
        <v>17</v>
      </c>
      <c r="G2082" s="2" t="s">
        <v>18</v>
      </c>
      <c r="H2082" s="2" t="s">
        <v>18</v>
      </c>
      <c r="I2082" s="2" t="s">
        <v>46</v>
      </c>
      <c r="J2082" s="2" t="s">
        <v>59</v>
      </c>
      <c r="K2082" s="2" t="s">
        <v>1353</v>
      </c>
      <c r="L2082" s="3">
        <v>0.4375</v>
      </c>
      <c r="M2082" s="2" t="s">
        <v>559</v>
      </c>
      <c r="N2082" s="2" t="s">
        <v>500</v>
      </c>
      <c r="O2082" s="2"/>
    </row>
    <row r="2083" spans="1:15" x14ac:dyDescent="0.25">
      <c r="A2083" s="2" t="s">
        <v>15</v>
      </c>
      <c r="B2083" s="2" t="str">
        <f>"FES1162769547"</f>
        <v>FES1162769547</v>
      </c>
      <c r="C2083" s="2" t="s">
        <v>1266</v>
      </c>
      <c r="D2083" s="2">
        <v>1</v>
      </c>
      <c r="E2083" s="2" t="str">
        <f>"2170754668"</f>
        <v>2170754668</v>
      </c>
      <c r="F2083" s="2" t="s">
        <v>17</v>
      </c>
      <c r="G2083" s="2" t="s">
        <v>18</v>
      </c>
      <c r="H2083" s="2" t="s">
        <v>18</v>
      </c>
      <c r="I2083" s="2" t="s">
        <v>46</v>
      </c>
      <c r="J2083" s="2" t="s">
        <v>1131</v>
      </c>
      <c r="K2083" s="2" t="s">
        <v>1353</v>
      </c>
      <c r="L2083" s="3">
        <v>0.34722222222222227</v>
      </c>
      <c r="M2083" s="2" t="s">
        <v>1186</v>
      </c>
      <c r="N2083" s="2" t="s">
        <v>500</v>
      </c>
      <c r="O2083" s="2"/>
    </row>
    <row r="2084" spans="1:15" x14ac:dyDescent="0.25">
      <c r="A2084" s="2" t="s">
        <v>15</v>
      </c>
      <c r="B2084" s="2" t="str">
        <f>"FES1162769615"</f>
        <v>FES1162769615</v>
      </c>
      <c r="C2084" s="2" t="s">
        <v>1266</v>
      </c>
      <c r="D2084" s="2">
        <v>1</v>
      </c>
      <c r="E2084" s="2" t="str">
        <f>"2170756684"</f>
        <v>2170756684</v>
      </c>
      <c r="F2084" s="2" t="s">
        <v>17</v>
      </c>
      <c r="G2084" s="2" t="s">
        <v>18</v>
      </c>
      <c r="H2084" s="2" t="s">
        <v>88</v>
      </c>
      <c r="I2084" s="2" t="s">
        <v>109</v>
      </c>
      <c r="J2084" s="2" t="s">
        <v>1447</v>
      </c>
      <c r="K2084" s="2" t="s">
        <v>1513</v>
      </c>
      <c r="L2084" s="3">
        <v>0.41041666666666665</v>
      </c>
      <c r="M2084" s="2" t="s">
        <v>1561</v>
      </c>
      <c r="N2084" s="2" t="s">
        <v>500</v>
      </c>
      <c r="O2084" s="2"/>
    </row>
    <row r="2085" spans="1:15" x14ac:dyDescent="0.25">
      <c r="A2085" s="2" t="s">
        <v>15</v>
      </c>
      <c r="B2085" s="2" t="str">
        <f>"FES1162770196"</f>
        <v>FES1162770196</v>
      </c>
      <c r="C2085" s="2" t="s">
        <v>1266</v>
      </c>
      <c r="D2085" s="2">
        <v>1</v>
      </c>
      <c r="E2085" s="2" t="str">
        <f>"2170757416"</f>
        <v>2170757416</v>
      </c>
      <c r="F2085" s="2" t="s">
        <v>17</v>
      </c>
      <c r="G2085" s="2" t="s">
        <v>18</v>
      </c>
      <c r="H2085" s="2" t="s">
        <v>25</v>
      </c>
      <c r="I2085" s="2" t="s">
        <v>345</v>
      </c>
      <c r="J2085" s="2" t="s">
        <v>1429</v>
      </c>
      <c r="K2085" s="2" t="s">
        <v>1506</v>
      </c>
      <c r="L2085" s="3">
        <v>0.41666666666666669</v>
      </c>
      <c r="M2085" s="2" t="s">
        <v>1562</v>
      </c>
      <c r="N2085" s="2" t="s">
        <v>500</v>
      </c>
      <c r="O2085" s="2"/>
    </row>
    <row r="2086" spans="1:15" x14ac:dyDescent="0.25">
      <c r="A2086" s="2" t="s">
        <v>15</v>
      </c>
      <c r="B2086" s="2" t="str">
        <f>"FES1162770103"</f>
        <v>FES1162770103</v>
      </c>
      <c r="C2086" s="2" t="s">
        <v>1266</v>
      </c>
      <c r="D2086" s="2">
        <v>1</v>
      </c>
      <c r="E2086" s="2" t="str">
        <f>"2170751216"</f>
        <v>2170751216</v>
      </c>
      <c r="F2086" s="2" t="s">
        <v>17</v>
      </c>
      <c r="G2086" s="2" t="s">
        <v>18</v>
      </c>
      <c r="H2086" s="2" t="s">
        <v>78</v>
      </c>
      <c r="I2086" s="2" t="s">
        <v>1229</v>
      </c>
      <c r="J2086" s="2" t="s">
        <v>1448</v>
      </c>
      <c r="K2086" s="2" t="s">
        <v>1506</v>
      </c>
      <c r="L2086" s="3">
        <v>0.51250000000000007</v>
      </c>
      <c r="M2086" s="2" t="s">
        <v>1563</v>
      </c>
      <c r="N2086" s="2" t="s">
        <v>500</v>
      </c>
      <c r="O2086" s="2"/>
    </row>
    <row r="2087" spans="1:15" x14ac:dyDescent="0.25">
      <c r="A2087" s="2" t="s">
        <v>15</v>
      </c>
      <c r="B2087" s="2" t="str">
        <f>"FES1162770262"</f>
        <v>FES1162770262</v>
      </c>
      <c r="C2087" s="2" t="s">
        <v>1266</v>
      </c>
      <c r="D2087" s="2">
        <v>1</v>
      </c>
      <c r="E2087" s="2" t="str">
        <f>"2170757531"</f>
        <v>2170757531</v>
      </c>
      <c r="F2087" s="2" t="s">
        <v>17</v>
      </c>
      <c r="G2087" s="2" t="s">
        <v>18</v>
      </c>
      <c r="H2087" s="2" t="s">
        <v>25</v>
      </c>
      <c r="I2087" s="2" t="s">
        <v>26</v>
      </c>
      <c r="J2087" s="2" t="s">
        <v>94</v>
      </c>
      <c r="K2087" s="2" t="s">
        <v>1353</v>
      </c>
      <c r="L2087" s="3">
        <v>0.41666666666666669</v>
      </c>
      <c r="M2087" s="2" t="s">
        <v>1114</v>
      </c>
      <c r="N2087" s="2" t="s">
        <v>500</v>
      </c>
      <c r="O2087" s="2"/>
    </row>
    <row r="2088" spans="1:15" x14ac:dyDescent="0.25">
      <c r="A2088" s="2" t="s">
        <v>15</v>
      </c>
      <c r="B2088" s="2" t="str">
        <f>"FES1162769486"</f>
        <v>FES1162769486</v>
      </c>
      <c r="C2088" s="2" t="s">
        <v>1266</v>
      </c>
      <c r="D2088" s="2">
        <v>1</v>
      </c>
      <c r="E2088" s="2" t="str">
        <f>"2170754808"</f>
        <v>2170754808</v>
      </c>
      <c r="F2088" s="2" t="s">
        <v>17</v>
      </c>
      <c r="G2088" s="2" t="s">
        <v>18</v>
      </c>
      <c r="H2088" s="2" t="s">
        <v>25</v>
      </c>
      <c r="I2088" s="2" t="s">
        <v>125</v>
      </c>
      <c r="J2088" s="2" t="s">
        <v>126</v>
      </c>
      <c r="K2088" s="2" t="s">
        <v>1353</v>
      </c>
      <c r="L2088" s="3">
        <v>0.53680555555555554</v>
      </c>
      <c r="M2088" s="2" t="s">
        <v>1474</v>
      </c>
      <c r="N2088" s="2" t="s">
        <v>500</v>
      </c>
      <c r="O2088" s="2"/>
    </row>
    <row r="2089" spans="1:15" x14ac:dyDescent="0.25">
      <c r="A2089" s="2" t="s">
        <v>15</v>
      </c>
      <c r="B2089" s="2" t="str">
        <f>"FES1162769481"</f>
        <v>FES1162769481</v>
      </c>
      <c r="C2089" s="2" t="s">
        <v>1266</v>
      </c>
      <c r="D2089" s="2">
        <v>1</v>
      </c>
      <c r="E2089" s="2" t="str">
        <f>"2170754749"</f>
        <v>2170754749</v>
      </c>
      <c r="F2089" s="2" t="s">
        <v>17</v>
      </c>
      <c r="G2089" s="2" t="s">
        <v>18</v>
      </c>
      <c r="H2089" s="2" t="s">
        <v>25</v>
      </c>
      <c r="I2089" s="2" t="s">
        <v>26</v>
      </c>
      <c r="J2089" s="2" t="s">
        <v>75</v>
      </c>
      <c r="K2089" s="2" t="s">
        <v>1353</v>
      </c>
      <c r="L2089" s="3">
        <v>0.39374999999999999</v>
      </c>
      <c r="M2089" s="2" t="s">
        <v>518</v>
      </c>
      <c r="N2089" s="2" t="s">
        <v>500</v>
      </c>
      <c r="O2089" s="2"/>
    </row>
    <row r="2090" spans="1:15" x14ac:dyDescent="0.25">
      <c r="A2090" s="2" t="s">
        <v>15</v>
      </c>
      <c r="B2090" s="2" t="str">
        <f>"FES1162769450"</f>
        <v>FES1162769450</v>
      </c>
      <c r="C2090" s="2" t="s">
        <v>1266</v>
      </c>
      <c r="D2090" s="2">
        <v>1</v>
      </c>
      <c r="E2090" s="2" t="str">
        <f>"2170752235"</f>
        <v>2170752235</v>
      </c>
      <c r="F2090" s="2" t="s">
        <v>17</v>
      </c>
      <c r="G2090" s="2" t="s">
        <v>18</v>
      </c>
      <c r="H2090" s="2" t="s">
        <v>25</v>
      </c>
      <c r="I2090" s="2" t="s">
        <v>26</v>
      </c>
      <c r="J2090" s="2" t="s">
        <v>1422</v>
      </c>
      <c r="K2090" s="2" t="s">
        <v>1353</v>
      </c>
      <c r="L2090" s="3">
        <v>0.4777777777777778</v>
      </c>
      <c r="M2090" s="2" t="s">
        <v>1524</v>
      </c>
      <c r="N2090" s="2" t="s">
        <v>500</v>
      </c>
      <c r="O2090" s="2"/>
    </row>
    <row r="2091" spans="1:15" x14ac:dyDescent="0.25">
      <c r="A2091" s="2" t="s">
        <v>15</v>
      </c>
      <c r="B2091" s="2" t="str">
        <f>"FES1162770110"</f>
        <v>FES1162770110</v>
      </c>
      <c r="C2091" s="2" t="s">
        <v>1266</v>
      </c>
      <c r="D2091" s="2">
        <v>1</v>
      </c>
      <c r="E2091" s="2" t="str">
        <f>"2170756603"</f>
        <v>2170756603</v>
      </c>
      <c r="F2091" s="2" t="s">
        <v>17</v>
      </c>
      <c r="G2091" s="2" t="s">
        <v>18</v>
      </c>
      <c r="H2091" s="2" t="s">
        <v>363</v>
      </c>
      <c r="I2091" s="2" t="s">
        <v>489</v>
      </c>
      <c r="J2091" s="2" t="s">
        <v>490</v>
      </c>
      <c r="K2091" s="2" t="s">
        <v>1353</v>
      </c>
      <c r="L2091" s="3">
        <v>0.375</v>
      </c>
      <c r="M2091" s="2" t="s">
        <v>594</v>
      </c>
      <c r="N2091" s="2" t="s">
        <v>500</v>
      </c>
      <c r="O2091" s="2"/>
    </row>
    <row r="2092" spans="1:15" x14ac:dyDescent="0.25">
      <c r="A2092" s="2" t="s">
        <v>15</v>
      </c>
      <c r="B2092" s="2" t="str">
        <f>"FES1162770205"</f>
        <v>FES1162770205</v>
      </c>
      <c r="C2092" s="2" t="s">
        <v>1266</v>
      </c>
      <c r="D2092" s="2">
        <v>1</v>
      </c>
      <c r="E2092" s="2" t="str">
        <f>"2170757449"</f>
        <v>2170757449</v>
      </c>
      <c r="F2092" s="2" t="s">
        <v>17</v>
      </c>
      <c r="G2092" s="2" t="s">
        <v>18</v>
      </c>
      <c r="H2092" s="2" t="s">
        <v>19</v>
      </c>
      <c r="I2092" s="2" t="s">
        <v>20</v>
      </c>
      <c r="J2092" s="2" t="s">
        <v>21</v>
      </c>
      <c r="K2092" s="2" t="s">
        <v>1353</v>
      </c>
      <c r="L2092" s="3">
        <v>0.38680555555555557</v>
      </c>
      <c r="M2092" s="2" t="s">
        <v>263</v>
      </c>
      <c r="N2092" s="2" t="s">
        <v>500</v>
      </c>
      <c r="O2092" s="2"/>
    </row>
    <row r="2093" spans="1:15" x14ac:dyDescent="0.25">
      <c r="A2093" s="2" t="s">
        <v>15</v>
      </c>
      <c r="B2093" s="2" t="str">
        <f>"FES1162770218"</f>
        <v>FES1162770218</v>
      </c>
      <c r="C2093" s="2" t="s">
        <v>1266</v>
      </c>
      <c r="D2093" s="2">
        <v>1</v>
      </c>
      <c r="E2093" s="2" t="str">
        <f>"2170757457"</f>
        <v>2170757457</v>
      </c>
      <c r="F2093" s="2" t="s">
        <v>17</v>
      </c>
      <c r="G2093" s="2" t="s">
        <v>18</v>
      </c>
      <c r="H2093" s="2" t="s">
        <v>18</v>
      </c>
      <c r="I2093" s="2" t="s">
        <v>63</v>
      </c>
      <c r="J2093" s="2" t="s">
        <v>1449</v>
      </c>
      <c r="K2093" s="2" t="s">
        <v>1353</v>
      </c>
      <c r="L2093" s="3">
        <v>0.375</v>
      </c>
      <c r="M2093" s="2" t="s">
        <v>1564</v>
      </c>
      <c r="N2093" s="2" t="s">
        <v>500</v>
      </c>
      <c r="O2093" s="2"/>
    </row>
    <row r="2094" spans="1:15" x14ac:dyDescent="0.25">
      <c r="A2094" s="2" t="s">
        <v>15</v>
      </c>
      <c r="B2094" s="2" t="str">
        <f>"FES1162770232"</f>
        <v>FES1162770232</v>
      </c>
      <c r="C2094" s="2" t="s">
        <v>1266</v>
      </c>
      <c r="D2094" s="2">
        <v>1</v>
      </c>
      <c r="E2094" s="2" t="str">
        <f>"2170757359"</f>
        <v>2170757359</v>
      </c>
      <c r="F2094" s="2" t="s">
        <v>17</v>
      </c>
      <c r="G2094" s="2" t="s">
        <v>18</v>
      </c>
      <c r="H2094" s="2" t="s">
        <v>19</v>
      </c>
      <c r="I2094" s="2" t="s">
        <v>20</v>
      </c>
      <c r="J2094" s="2" t="s">
        <v>1450</v>
      </c>
      <c r="K2094" s="2" t="s">
        <v>1353</v>
      </c>
      <c r="L2094" s="3">
        <v>0.31875000000000003</v>
      </c>
      <c r="M2094" s="2" t="s">
        <v>1451</v>
      </c>
      <c r="N2094" s="2" t="s">
        <v>500</v>
      </c>
      <c r="O2094" s="2"/>
    </row>
    <row r="2095" spans="1:15" x14ac:dyDescent="0.25">
      <c r="A2095" s="2" t="s">
        <v>15</v>
      </c>
      <c r="B2095" s="2" t="str">
        <f>"FES1162770222"</f>
        <v>FES1162770222</v>
      </c>
      <c r="C2095" s="2" t="s">
        <v>1266</v>
      </c>
      <c r="D2095" s="2">
        <v>1</v>
      </c>
      <c r="E2095" s="2" t="str">
        <f>"2170757477"</f>
        <v>2170757477</v>
      </c>
      <c r="F2095" s="2" t="s">
        <v>17</v>
      </c>
      <c r="G2095" s="2" t="s">
        <v>18</v>
      </c>
      <c r="H2095" s="2" t="s">
        <v>78</v>
      </c>
      <c r="I2095" s="2" t="s">
        <v>79</v>
      </c>
      <c r="J2095" s="2" t="s">
        <v>81</v>
      </c>
      <c r="K2095" s="2" t="s">
        <v>1353</v>
      </c>
      <c r="L2095" s="3">
        <v>0.36805555555555558</v>
      </c>
      <c r="M2095" s="2" t="s">
        <v>1337</v>
      </c>
      <c r="N2095" s="2" t="s">
        <v>500</v>
      </c>
      <c r="O2095" s="2"/>
    </row>
    <row r="2096" spans="1:15" x14ac:dyDescent="0.25">
      <c r="A2096" s="2" t="s">
        <v>15</v>
      </c>
      <c r="B2096" s="2" t="str">
        <f>"FES1162770024"</f>
        <v>FES1162770024</v>
      </c>
      <c r="C2096" s="2" t="s">
        <v>1266</v>
      </c>
      <c r="D2096" s="2">
        <v>1</v>
      </c>
      <c r="E2096" s="2" t="str">
        <f>"2170757257"</f>
        <v>2170757257</v>
      </c>
      <c r="F2096" s="2" t="s">
        <v>17</v>
      </c>
      <c r="G2096" s="2" t="s">
        <v>18</v>
      </c>
      <c r="H2096" s="2" t="s">
        <v>19</v>
      </c>
      <c r="I2096" s="2" t="s">
        <v>20</v>
      </c>
      <c r="J2096" s="2" t="s">
        <v>29</v>
      </c>
      <c r="K2096" s="2" t="s">
        <v>1353</v>
      </c>
      <c r="L2096" s="3">
        <v>0.38194444444444442</v>
      </c>
      <c r="M2096" s="2" t="s">
        <v>173</v>
      </c>
      <c r="N2096" s="2" t="s">
        <v>500</v>
      </c>
      <c r="O2096" s="2"/>
    </row>
    <row r="2097" spans="1:15" x14ac:dyDescent="0.25">
      <c r="A2097" s="2" t="s">
        <v>15</v>
      </c>
      <c r="B2097" s="2" t="str">
        <f>"FES1162770231"</f>
        <v>FES1162770231</v>
      </c>
      <c r="C2097" s="2" t="s">
        <v>1266</v>
      </c>
      <c r="D2097" s="2">
        <v>1</v>
      </c>
      <c r="E2097" s="2" t="str">
        <f>"2170756967"</f>
        <v>2170756967</v>
      </c>
      <c r="F2097" s="2" t="s">
        <v>17</v>
      </c>
      <c r="G2097" s="2" t="s">
        <v>18</v>
      </c>
      <c r="H2097" s="2" t="s">
        <v>88</v>
      </c>
      <c r="I2097" s="2" t="s">
        <v>109</v>
      </c>
      <c r="J2097" s="2" t="s">
        <v>339</v>
      </c>
      <c r="K2097" s="2" t="s">
        <v>1353</v>
      </c>
      <c r="L2097" s="3">
        <v>0.42499999999999999</v>
      </c>
      <c r="M2097" s="2" t="s">
        <v>1565</v>
      </c>
      <c r="N2097" s="2" t="s">
        <v>500</v>
      </c>
      <c r="O2097" s="2"/>
    </row>
    <row r="2098" spans="1:15" x14ac:dyDescent="0.25">
      <c r="A2098" s="2" t="s">
        <v>15</v>
      </c>
      <c r="B2098" s="2" t="str">
        <f>"FES1162770219"</f>
        <v>FES1162770219</v>
      </c>
      <c r="C2098" s="2" t="s">
        <v>1266</v>
      </c>
      <c r="D2098" s="2">
        <v>1</v>
      </c>
      <c r="E2098" s="2" t="str">
        <f>"2170757466"</f>
        <v>2170757466</v>
      </c>
      <c r="F2098" s="2" t="s">
        <v>17</v>
      </c>
      <c r="G2098" s="2" t="s">
        <v>18</v>
      </c>
      <c r="H2098" s="2" t="s">
        <v>19</v>
      </c>
      <c r="I2098" s="2" t="s">
        <v>111</v>
      </c>
      <c r="J2098" s="2" t="s">
        <v>143</v>
      </c>
      <c r="K2098" s="2" t="s">
        <v>1353</v>
      </c>
      <c r="L2098" s="3">
        <v>0.3263888888888889</v>
      </c>
      <c r="M2098" s="2" t="s">
        <v>144</v>
      </c>
      <c r="N2098" s="2" t="s">
        <v>500</v>
      </c>
      <c r="O2098" s="2"/>
    </row>
    <row r="2099" spans="1:15" x14ac:dyDescent="0.25">
      <c r="A2099" s="2" t="s">
        <v>15</v>
      </c>
      <c r="B2099" s="2" t="str">
        <f>"FES1162770215"</f>
        <v>FES1162770215</v>
      </c>
      <c r="C2099" s="2" t="s">
        <v>1266</v>
      </c>
      <c r="D2099" s="2">
        <v>1</v>
      </c>
      <c r="E2099" s="2" t="str">
        <f>"2170757464"</f>
        <v>2170757464</v>
      </c>
      <c r="F2099" s="2" t="s">
        <v>17</v>
      </c>
      <c r="G2099" s="2" t="s">
        <v>18</v>
      </c>
      <c r="H2099" s="2" t="s">
        <v>19</v>
      </c>
      <c r="I2099" s="2" t="s">
        <v>111</v>
      </c>
      <c r="J2099" s="2" t="s">
        <v>385</v>
      </c>
      <c r="K2099" s="2" t="s">
        <v>1353</v>
      </c>
      <c r="L2099" s="3">
        <v>0.36458333333333331</v>
      </c>
      <c r="M2099" s="2" t="s">
        <v>1566</v>
      </c>
      <c r="N2099" s="2" t="s">
        <v>500</v>
      </c>
      <c r="O2099" s="2"/>
    </row>
    <row r="2100" spans="1:15" x14ac:dyDescent="0.25">
      <c r="A2100" s="2" t="s">
        <v>15</v>
      </c>
      <c r="B2100" s="2" t="str">
        <f>"FES1162770233"</f>
        <v>FES1162770233</v>
      </c>
      <c r="C2100" s="2" t="s">
        <v>1266</v>
      </c>
      <c r="D2100" s="2">
        <v>1</v>
      </c>
      <c r="E2100" s="2" t="str">
        <f>"2170757486"</f>
        <v>2170757486</v>
      </c>
      <c r="F2100" s="2" t="s">
        <v>17</v>
      </c>
      <c r="G2100" s="2" t="s">
        <v>18</v>
      </c>
      <c r="H2100" s="2" t="s">
        <v>19</v>
      </c>
      <c r="I2100" s="2" t="s">
        <v>20</v>
      </c>
      <c r="J2100" s="2" t="s">
        <v>1302</v>
      </c>
      <c r="K2100" s="2" t="s">
        <v>1353</v>
      </c>
      <c r="L2100" s="3">
        <v>0.42291666666666666</v>
      </c>
      <c r="M2100" s="2" t="s">
        <v>1357</v>
      </c>
      <c r="N2100" s="2" t="s">
        <v>500</v>
      </c>
      <c r="O2100" s="2"/>
    </row>
    <row r="2101" spans="1:15" x14ac:dyDescent="0.25">
      <c r="A2101" s="2" t="s">
        <v>15</v>
      </c>
      <c r="B2101" s="2" t="str">
        <f>"FES1162770216"</f>
        <v>FES1162770216</v>
      </c>
      <c r="C2101" s="2" t="s">
        <v>1266</v>
      </c>
      <c r="D2101" s="2">
        <v>1</v>
      </c>
      <c r="E2101" s="2" t="str">
        <f>"2170757465"</f>
        <v>2170757465</v>
      </c>
      <c r="F2101" s="2" t="s">
        <v>17</v>
      </c>
      <c r="G2101" s="2" t="s">
        <v>18</v>
      </c>
      <c r="H2101" s="2" t="s">
        <v>19</v>
      </c>
      <c r="I2101" s="2" t="s">
        <v>20</v>
      </c>
      <c r="J2101" s="2" t="s">
        <v>1452</v>
      </c>
      <c r="K2101" s="2" t="s">
        <v>1353</v>
      </c>
      <c r="L2101" s="3">
        <v>0.32291666666666669</v>
      </c>
      <c r="M2101" s="2" t="s">
        <v>1453</v>
      </c>
      <c r="N2101" s="2" t="s">
        <v>500</v>
      </c>
      <c r="O2101" s="2"/>
    </row>
    <row r="2102" spans="1:15" x14ac:dyDescent="0.25">
      <c r="A2102" s="2" t="s">
        <v>15</v>
      </c>
      <c r="B2102" s="2" t="str">
        <f>"FES1162770228"</f>
        <v>FES1162770228</v>
      </c>
      <c r="C2102" s="2" t="s">
        <v>1266</v>
      </c>
      <c r="D2102" s="2">
        <v>1</v>
      </c>
      <c r="E2102" s="2" t="str">
        <f>"2170757483"</f>
        <v>2170757483</v>
      </c>
      <c r="F2102" s="2" t="s">
        <v>17</v>
      </c>
      <c r="G2102" s="2" t="s">
        <v>18</v>
      </c>
      <c r="H2102" s="2" t="s">
        <v>88</v>
      </c>
      <c r="I2102" s="2" t="s">
        <v>612</v>
      </c>
      <c r="J2102" s="2" t="s">
        <v>1126</v>
      </c>
      <c r="K2102" s="2" t="s">
        <v>1506</v>
      </c>
      <c r="L2102" s="3">
        <v>0.63194444444444442</v>
      </c>
      <c r="M2102" s="2" t="s">
        <v>1567</v>
      </c>
      <c r="N2102" s="2" t="s">
        <v>500</v>
      </c>
      <c r="O2102" s="2"/>
    </row>
    <row r="2103" spans="1:15" x14ac:dyDescent="0.25">
      <c r="A2103" s="2" t="s">
        <v>15</v>
      </c>
      <c r="B2103" s="2" t="str">
        <f>"FES1162770213"</f>
        <v>FES1162770213</v>
      </c>
      <c r="C2103" s="2" t="s">
        <v>1266</v>
      </c>
      <c r="D2103" s="2">
        <v>1</v>
      </c>
      <c r="E2103" s="2" t="str">
        <f>"2170757461"</f>
        <v>2170757461</v>
      </c>
      <c r="F2103" s="2" t="s">
        <v>17</v>
      </c>
      <c r="G2103" s="2" t="s">
        <v>18</v>
      </c>
      <c r="H2103" s="2" t="s">
        <v>19</v>
      </c>
      <c r="I2103" s="2" t="s">
        <v>111</v>
      </c>
      <c r="J2103" s="2" t="s">
        <v>1454</v>
      </c>
      <c r="K2103" s="2" t="s">
        <v>1353</v>
      </c>
      <c r="L2103" s="3">
        <v>0.38194444444444442</v>
      </c>
      <c r="M2103" s="2" t="s">
        <v>1568</v>
      </c>
      <c r="N2103" s="2" t="s">
        <v>500</v>
      </c>
      <c r="O2103" s="2"/>
    </row>
    <row r="2104" spans="1:15" x14ac:dyDescent="0.25">
      <c r="A2104" s="2" t="s">
        <v>15</v>
      </c>
      <c r="B2104" s="2" t="str">
        <f>"FES1162770238"</f>
        <v>FES1162770238</v>
      </c>
      <c r="C2104" s="2" t="s">
        <v>1266</v>
      </c>
      <c r="D2104" s="2">
        <v>1</v>
      </c>
      <c r="E2104" s="2" t="str">
        <f>"2170757491"</f>
        <v>2170757491</v>
      </c>
      <c r="F2104" s="2" t="s">
        <v>17</v>
      </c>
      <c r="G2104" s="2" t="s">
        <v>18</v>
      </c>
      <c r="H2104" s="2" t="s">
        <v>18</v>
      </c>
      <c r="I2104" s="2" t="s">
        <v>157</v>
      </c>
      <c r="J2104" s="2" t="s">
        <v>664</v>
      </c>
      <c r="K2104" s="2" t="s">
        <v>1353</v>
      </c>
      <c r="L2104" s="3">
        <v>0.43055555555555558</v>
      </c>
      <c r="M2104" s="2" t="s">
        <v>1569</v>
      </c>
      <c r="N2104" s="2" t="s">
        <v>500</v>
      </c>
      <c r="O2104" s="2"/>
    </row>
    <row r="2105" spans="1:15" x14ac:dyDescent="0.25">
      <c r="A2105" s="2" t="s">
        <v>15</v>
      </c>
      <c r="B2105" s="2" t="str">
        <f>"FES1162770223"</f>
        <v>FES1162770223</v>
      </c>
      <c r="C2105" s="2" t="s">
        <v>1266</v>
      </c>
      <c r="D2105" s="2">
        <v>1</v>
      </c>
      <c r="E2105" s="2" t="str">
        <f>"2170756977"</f>
        <v>2170756977</v>
      </c>
      <c r="F2105" s="2" t="s">
        <v>17</v>
      </c>
      <c r="G2105" s="2" t="s">
        <v>18</v>
      </c>
      <c r="H2105" s="2" t="s">
        <v>18</v>
      </c>
      <c r="I2105" s="2" t="s">
        <v>52</v>
      </c>
      <c r="J2105" s="2" t="s">
        <v>53</v>
      </c>
      <c r="K2105" s="2" t="s">
        <v>1353</v>
      </c>
      <c r="L2105" s="3">
        <v>0.5</v>
      </c>
      <c r="M2105" s="2" t="s">
        <v>1158</v>
      </c>
      <c r="N2105" s="2" t="s">
        <v>500</v>
      </c>
      <c r="O2105" s="2"/>
    </row>
    <row r="2106" spans="1:15" x14ac:dyDescent="0.25">
      <c r="A2106" s="2" t="s">
        <v>15</v>
      </c>
      <c r="B2106" s="2" t="str">
        <f>"FES1162770019"</f>
        <v>FES1162770019</v>
      </c>
      <c r="C2106" s="2" t="s">
        <v>1266</v>
      </c>
      <c r="D2106" s="2">
        <v>1</v>
      </c>
      <c r="E2106" s="2" t="str">
        <f>"2170757253"</f>
        <v>2170757253</v>
      </c>
      <c r="F2106" s="2" t="s">
        <v>17</v>
      </c>
      <c r="G2106" s="2" t="s">
        <v>18</v>
      </c>
      <c r="H2106" s="2" t="s">
        <v>36</v>
      </c>
      <c r="I2106" s="2" t="s">
        <v>37</v>
      </c>
      <c r="J2106" s="2" t="s">
        <v>38</v>
      </c>
      <c r="K2106" s="2" t="s">
        <v>1353</v>
      </c>
      <c r="L2106" s="3">
        <v>0.34722222222222227</v>
      </c>
      <c r="M2106" s="2" t="s">
        <v>1570</v>
      </c>
      <c r="N2106" s="2" t="s">
        <v>500</v>
      </c>
      <c r="O2106" s="2"/>
    </row>
    <row r="2107" spans="1:15" x14ac:dyDescent="0.25">
      <c r="A2107" s="2" t="s">
        <v>15</v>
      </c>
      <c r="B2107" s="2" t="str">
        <f>"FES1162770025"</f>
        <v>FES1162770025</v>
      </c>
      <c r="C2107" s="2" t="s">
        <v>1266</v>
      </c>
      <c r="D2107" s="2">
        <v>1</v>
      </c>
      <c r="E2107" s="2" t="str">
        <f>"2170757258"</f>
        <v>2170757258</v>
      </c>
      <c r="F2107" s="2" t="s">
        <v>17</v>
      </c>
      <c r="G2107" s="2" t="s">
        <v>18</v>
      </c>
      <c r="H2107" s="2" t="s">
        <v>25</v>
      </c>
      <c r="I2107" s="2" t="s">
        <v>26</v>
      </c>
      <c r="J2107" s="2" t="s">
        <v>28</v>
      </c>
      <c r="K2107" s="2" t="s">
        <v>1353</v>
      </c>
      <c r="L2107" s="3">
        <v>0.34861111111111115</v>
      </c>
      <c r="M2107" s="2" t="s">
        <v>172</v>
      </c>
      <c r="N2107" s="2" t="s">
        <v>500</v>
      </c>
      <c r="O2107" s="2"/>
    </row>
    <row r="2108" spans="1:15" x14ac:dyDescent="0.25">
      <c r="A2108" s="2" t="s">
        <v>15</v>
      </c>
      <c r="B2108" s="2" t="str">
        <f>"FES1162770237"</f>
        <v>FES1162770237</v>
      </c>
      <c r="C2108" s="2" t="s">
        <v>1266</v>
      </c>
      <c r="D2108" s="2">
        <v>1</v>
      </c>
      <c r="E2108" s="2" t="str">
        <f>"2170757476"</f>
        <v>2170757476</v>
      </c>
      <c r="F2108" s="2" t="s">
        <v>17</v>
      </c>
      <c r="G2108" s="2" t="s">
        <v>18</v>
      </c>
      <c r="H2108" s="2" t="s">
        <v>18</v>
      </c>
      <c r="I2108" s="2" t="s">
        <v>82</v>
      </c>
      <c r="J2108" s="2" t="s">
        <v>83</v>
      </c>
      <c r="K2108" s="2" t="s">
        <v>1353</v>
      </c>
      <c r="L2108" s="3">
        <v>0.37152777777777773</v>
      </c>
      <c r="M2108" s="2" t="s">
        <v>1367</v>
      </c>
      <c r="N2108" s="2" t="s">
        <v>500</v>
      </c>
      <c r="O2108" s="2"/>
    </row>
    <row r="2109" spans="1:15" x14ac:dyDescent="0.25">
      <c r="A2109" s="2" t="s">
        <v>15</v>
      </c>
      <c r="B2109" s="2" t="str">
        <f>"FES1162769848"</f>
        <v>FES1162769848</v>
      </c>
      <c r="C2109" s="2" t="s">
        <v>1266</v>
      </c>
      <c r="D2109" s="2">
        <v>1</v>
      </c>
      <c r="E2109" s="2" t="str">
        <f>"2170757126"</f>
        <v>2170757126</v>
      </c>
      <c r="F2109" s="2" t="s">
        <v>205</v>
      </c>
      <c r="G2109" s="2" t="s">
        <v>206</v>
      </c>
      <c r="H2109" s="2" t="s">
        <v>36</v>
      </c>
      <c r="I2109" s="2" t="s">
        <v>37</v>
      </c>
      <c r="J2109" s="2" t="s">
        <v>1455</v>
      </c>
      <c r="K2109" s="2" t="s">
        <v>1506</v>
      </c>
      <c r="L2109" s="3">
        <v>0.34027777777777773</v>
      </c>
      <c r="M2109" s="2" t="s">
        <v>1571</v>
      </c>
      <c r="N2109" s="2" t="s">
        <v>500</v>
      </c>
      <c r="O2109" s="2"/>
    </row>
    <row r="2110" spans="1:15" x14ac:dyDescent="0.25">
      <c r="A2110" s="2" t="s">
        <v>15</v>
      </c>
      <c r="B2110" s="2" t="str">
        <f>"FES1162769445"</f>
        <v>FES1162769445</v>
      </c>
      <c r="C2110" s="2" t="s">
        <v>1266</v>
      </c>
      <c r="D2110" s="2">
        <v>1</v>
      </c>
      <c r="E2110" s="2" t="str">
        <f>"2170748429"</f>
        <v>2170748429</v>
      </c>
      <c r="F2110" s="2" t="s">
        <v>17</v>
      </c>
      <c r="G2110" s="2" t="s">
        <v>18</v>
      </c>
      <c r="H2110" s="2" t="s">
        <v>25</v>
      </c>
      <c r="I2110" s="2" t="s">
        <v>26</v>
      </c>
      <c r="J2110" s="2" t="s">
        <v>1422</v>
      </c>
      <c r="K2110" s="2" t="s">
        <v>1353</v>
      </c>
      <c r="L2110" s="3">
        <v>0.4777777777777778</v>
      </c>
      <c r="M2110" s="2" t="s">
        <v>1524</v>
      </c>
      <c r="N2110" s="2" t="s">
        <v>500</v>
      </c>
      <c r="O2110" s="2"/>
    </row>
    <row r="2111" spans="1:15" x14ac:dyDescent="0.25">
      <c r="A2111" s="2" t="s">
        <v>15</v>
      </c>
      <c r="B2111" s="2" t="str">
        <f>"FES1162770189"</f>
        <v>FES1162770189</v>
      </c>
      <c r="C2111" s="2" t="s">
        <v>1266</v>
      </c>
      <c r="D2111" s="2">
        <v>1</v>
      </c>
      <c r="E2111" s="2" t="str">
        <f>"2170754321"</f>
        <v>2170754321</v>
      </c>
      <c r="F2111" s="2" t="s">
        <v>17</v>
      </c>
      <c r="G2111" s="2" t="s">
        <v>18</v>
      </c>
      <c r="H2111" s="2" t="s">
        <v>19</v>
      </c>
      <c r="I2111" s="2" t="s">
        <v>111</v>
      </c>
      <c r="J2111" s="2" t="s">
        <v>1456</v>
      </c>
      <c r="K2111" s="2" t="s">
        <v>1353</v>
      </c>
      <c r="L2111" s="3">
        <v>0.45902777777777781</v>
      </c>
      <c r="M2111" s="2" t="s">
        <v>1572</v>
      </c>
      <c r="N2111" s="2" t="s">
        <v>500</v>
      </c>
      <c r="O2111" s="2"/>
    </row>
    <row r="2112" spans="1:15" x14ac:dyDescent="0.25">
      <c r="A2112" s="2" t="s">
        <v>15</v>
      </c>
      <c r="B2112" s="2" t="str">
        <f>"FES1162769446"</f>
        <v>FES1162769446</v>
      </c>
      <c r="C2112" s="2" t="s">
        <v>1266</v>
      </c>
      <c r="D2112" s="2">
        <v>1</v>
      </c>
      <c r="E2112" s="2" t="str">
        <f>"2170748962"</f>
        <v>2170748962</v>
      </c>
      <c r="F2112" s="2" t="s">
        <v>17</v>
      </c>
      <c r="G2112" s="2" t="s">
        <v>18</v>
      </c>
      <c r="H2112" s="2" t="s">
        <v>25</v>
      </c>
      <c r="I2112" s="2" t="s">
        <v>26</v>
      </c>
      <c r="J2112" s="2" t="s">
        <v>1422</v>
      </c>
      <c r="K2112" s="2" t="s">
        <v>1353</v>
      </c>
      <c r="L2112" s="3">
        <v>0.47847222222222219</v>
      </c>
      <c r="M2112" s="2" t="s">
        <v>1524</v>
      </c>
      <c r="N2112" s="2" t="s">
        <v>500</v>
      </c>
      <c r="O2112" s="2"/>
    </row>
    <row r="2113" spans="1:15" x14ac:dyDescent="0.25">
      <c r="A2113" s="2" t="s">
        <v>15</v>
      </c>
      <c r="B2113" s="2" t="str">
        <f>"FES1162770204"</f>
        <v>FES1162770204</v>
      </c>
      <c r="C2113" s="2" t="s">
        <v>1266</v>
      </c>
      <c r="D2113" s="2">
        <v>1</v>
      </c>
      <c r="E2113" s="2" t="str">
        <f>"2170757446"</f>
        <v>2170757446</v>
      </c>
      <c r="F2113" s="2" t="s">
        <v>17</v>
      </c>
      <c r="G2113" s="2" t="s">
        <v>18</v>
      </c>
      <c r="H2113" s="2" t="s">
        <v>19</v>
      </c>
      <c r="I2113" s="2" t="s">
        <v>20</v>
      </c>
      <c r="J2113" s="2" t="s">
        <v>21</v>
      </c>
      <c r="K2113" s="2" t="s">
        <v>1353</v>
      </c>
      <c r="L2113" s="3">
        <v>0.38680555555555557</v>
      </c>
      <c r="M2113" s="2" t="s">
        <v>263</v>
      </c>
      <c r="N2113" s="2" t="s">
        <v>500</v>
      </c>
      <c r="O2113" s="2"/>
    </row>
    <row r="2114" spans="1:15" x14ac:dyDescent="0.25">
      <c r="A2114" s="2" t="s">
        <v>15</v>
      </c>
      <c r="B2114" s="2" t="str">
        <f>"FES1162770158"</f>
        <v>FES1162770158</v>
      </c>
      <c r="C2114" s="2" t="s">
        <v>1266</v>
      </c>
      <c r="D2114" s="2">
        <v>1</v>
      </c>
      <c r="E2114" s="2" t="str">
        <f>"2170756428"</f>
        <v>2170756428</v>
      </c>
      <c r="F2114" s="2" t="s">
        <v>17</v>
      </c>
      <c r="G2114" s="2" t="s">
        <v>18</v>
      </c>
      <c r="H2114" s="2" t="s">
        <v>18</v>
      </c>
      <c r="I2114" s="2" t="s">
        <v>116</v>
      </c>
      <c r="J2114" s="2" t="s">
        <v>1457</v>
      </c>
      <c r="K2114" s="2" t="s">
        <v>1353</v>
      </c>
      <c r="L2114" s="3">
        <v>0.3444444444444445</v>
      </c>
      <c r="M2114" s="2" t="s">
        <v>1573</v>
      </c>
      <c r="N2114" s="2" t="s">
        <v>500</v>
      </c>
      <c r="O2114" s="2"/>
    </row>
    <row r="2115" spans="1:15" x14ac:dyDescent="0.25">
      <c r="A2115" s="2" t="s">
        <v>15</v>
      </c>
      <c r="B2115" s="2" t="str">
        <f>"FES1162770179"</f>
        <v>FES1162770179</v>
      </c>
      <c r="C2115" s="2" t="s">
        <v>1266</v>
      </c>
      <c r="D2115" s="2">
        <v>1</v>
      </c>
      <c r="E2115" s="2" t="str">
        <f>"2170757415"</f>
        <v>2170757415</v>
      </c>
      <c r="F2115" s="2" t="s">
        <v>17</v>
      </c>
      <c r="G2115" s="2" t="s">
        <v>18</v>
      </c>
      <c r="H2115" s="2" t="s">
        <v>36</v>
      </c>
      <c r="I2115" s="2" t="s">
        <v>37</v>
      </c>
      <c r="J2115" s="2" t="s">
        <v>104</v>
      </c>
      <c r="K2115" s="2" t="s">
        <v>1353</v>
      </c>
      <c r="L2115" s="3">
        <v>0.35416666666666669</v>
      </c>
      <c r="M2115" s="2" t="s">
        <v>672</v>
      </c>
      <c r="N2115" s="2" t="s">
        <v>500</v>
      </c>
      <c r="O2115" s="2"/>
    </row>
    <row r="2116" spans="1:15" x14ac:dyDescent="0.25">
      <c r="A2116" s="2" t="s">
        <v>15</v>
      </c>
      <c r="B2116" s="2" t="str">
        <f>"FES1162770264"</f>
        <v>FES1162770264</v>
      </c>
      <c r="C2116" s="2" t="s">
        <v>1266</v>
      </c>
      <c r="D2116" s="2">
        <v>1</v>
      </c>
      <c r="E2116" s="2" t="str">
        <f>"2170757515"</f>
        <v>2170757515</v>
      </c>
      <c r="F2116" s="2" t="s">
        <v>17</v>
      </c>
      <c r="G2116" s="2" t="s">
        <v>18</v>
      </c>
      <c r="H2116" s="2" t="s">
        <v>36</v>
      </c>
      <c r="I2116" s="2" t="s">
        <v>67</v>
      </c>
      <c r="J2116" s="2" t="s">
        <v>146</v>
      </c>
      <c r="K2116" s="2" t="s">
        <v>1353</v>
      </c>
      <c r="L2116" s="3">
        <v>0.38472222222222219</v>
      </c>
      <c r="M2116" s="2" t="s">
        <v>1382</v>
      </c>
      <c r="N2116" s="2" t="s">
        <v>500</v>
      </c>
      <c r="O2116" s="2"/>
    </row>
    <row r="2117" spans="1:15" x14ac:dyDescent="0.25">
      <c r="A2117" s="2" t="s">
        <v>15</v>
      </c>
      <c r="B2117" s="2" t="str">
        <f>"FES1162770102"</f>
        <v>FES1162770102</v>
      </c>
      <c r="C2117" s="2" t="s">
        <v>1266</v>
      </c>
      <c r="D2117" s="2">
        <v>1</v>
      </c>
      <c r="E2117" s="2" t="str">
        <f>"2170750810"</f>
        <v>2170750810</v>
      </c>
      <c r="F2117" s="2" t="s">
        <v>17</v>
      </c>
      <c r="G2117" s="2" t="s">
        <v>18</v>
      </c>
      <c r="H2117" s="2" t="s">
        <v>36</v>
      </c>
      <c r="I2117" s="2" t="s">
        <v>37</v>
      </c>
      <c r="J2117" s="2" t="s">
        <v>162</v>
      </c>
      <c r="K2117" s="2" t="s">
        <v>1353</v>
      </c>
      <c r="L2117" s="3">
        <v>0.36527777777777781</v>
      </c>
      <c r="M2117" s="2" t="s">
        <v>268</v>
      </c>
      <c r="N2117" s="2" t="s">
        <v>500</v>
      </c>
      <c r="O2117" s="2"/>
    </row>
    <row r="2118" spans="1:15" x14ac:dyDescent="0.25">
      <c r="A2118" s="2" t="s">
        <v>15</v>
      </c>
      <c r="B2118" s="2" t="str">
        <f>"FES1162770217"</f>
        <v>FES1162770217</v>
      </c>
      <c r="C2118" s="2" t="s">
        <v>1266</v>
      </c>
      <c r="D2118" s="2">
        <v>1</v>
      </c>
      <c r="E2118" s="2" t="str">
        <f>"2170755817"</f>
        <v>2170755817</v>
      </c>
      <c r="F2118" s="2" t="s">
        <v>17</v>
      </c>
      <c r="G2118" s="2" t="s">
        <v>18</v>
      </c>
      <c r="H2118" s="2" t="s">
        <v>36</v>
      </c>
      <c r="I2118" s="2" t="s">
        <v>37</v>
      </c>
      <c r="J2118" s="2" t="s">
        <v>1458</v>
      </c>
      <c r="K2118" s="2" t="s">
        <v>1353</v>
      </c>
      <c r="L2118" s="3">
        <v>0.42430555555555555</v>
      </c>
      <c r="M2118" s="2" t="s">
        <v>836</v>
      </c>
      <c r="N2118" s="2" t="s">
        <v>500</v>
      </c>
      <c r="O2118" s="2"/>
    </row>
    <row r="2119" spans="1:15" x14ac:dyDescent="0.25">
      <c r="A2119" s="5" t="s">
        <v>15</v>
      </c>
      <c r="B2119" s="5" t="str">
        <f>"FES1162770225"</f>
        <v>FES1162770225</v>
      </c>
      <c r="C2119" s="5" t="s">
        <v>1266</v>
      </c>
      <c r="D2119" s="5">
        <v>1</v>
      </c>
      <c r="E2119" s="5" t="str">
        <f>"2170757150"</f>
        <v>2170757150</v>
      </c>
      <c r="F2119" s="5" t="s">
        <v>17</v>
      </c>
      <c r="G2119" s="5" t="s">
        <v>18</v>
      </c>
      <c r="H2119" s="5" t="s">
        <v>36</v>
      </c>
      <c r="I2119" s="5" t="s">
        <v>1032</v>
      </c>
      <c r="J2119" s="5" t="s">
        <v>1033</v>
      </c>
      <c r="K2119" s="5" t="s">
        <v>1897</v>
      </c>
      <c r="L2119" s="9">
        <v>0.63958333333333328</v>
      </c>
      <c r="M2119" s="5" t="s">
        <v>2072</v>
      </c>
      <c r="N2119" s="5" t="s">
        <v>500</v>
      </c>
      <c r="O2119" s="5"/>
    </row>
    <row r="2120" spans="1:15" x14ac:dyDescent="0.25">
      <c r="A2120" s="2" t="s">
        <v>15</v>
      </c>
      <c r="B2120" s="2" t="str">
        <f>"FES1162769482"</f>
        <v>FES1162769482</v>
      </c>
      <c r="C2120" s="2" t="s">
        <v>1266</v>
      </c>
      <c r="D2120" s="2">
        <v>1</v>
      </c>
      <c r="E2120" s="2" t="str">
        <f>"2170754768"</f>
        <v>2170754768</v>
      </c>
      <c r="F2120" s="2" t="s">
        <v>17</v>
      </c>
      <c r="G2120" s="2" t="s">
        <v>18</v>
      </c>
      <c r="H2120" s="2" t="s">
        <v>18</v>
      </c>
      <c r="I2120" s="2" t="s">
        <v>46</v>
      </c>
      <c r="J2120" s="2" t="s">
        <v>1233</v>
      </c>
      <c r="K2120" s="2" t="s">
        <v>1353</v>
      </c>
      <c r="L2120" s="3">
        <v>0.43055555555555558</v>
      </c>
      <c r="M2120" s="2" t="s">
        <v>1574</v>
      </c>
      <c r="N2120" s="2" t="s">
        <v>500</v>
      </c>
      <c r="O2120" s="2"/>
    </row>
    <row r="2121" spans="1:15" x14ac:dyDescent="0.25">
      <c r="A2121" s="2" t="s">
        <v>15</v>
      </c>
      <c r="B2121" s="2" t="str">
        <f>"FES1162770251"</f>
        <v>FES1162770251</v>
      </c>
      <c r="C2121" s="2" t="s">
        <v>1266</v>
      </c>
      <c r="D2121" s="2">
        <v>1</v>
      </c>
      <c r="E2121" s="2" t="str">
        <f>"2170757502"</f>
        <v>2170757502</v>
      </c>
      <c r="F2121" s="2" t="s">
        <v>17</v>
      </c>
      <c r="G2121" s="2" t="s">
        <v>18</v>
      </c>
      <c r="H2121" s="2" t="s">
        <v>18</v>
      </c>
      <c r="I2121" s="2" t="s">
        <v>50</v>
      </c>
      <c r="J2121" s="2" t="s">
        <v>1459</v>
      </c>
      <c r="K2121" s="2" t="s">
        <v>1353</v>
      </c>
      <c r="L2121" s="3">
        <v>0.72916666666666663</v>
      </c>
      <c r="M2121" s="2" t="s">
        <v>1575</v>
      </c>
      <c r="N2121" s="2" t="s">
        <v>500</v>
      </c>
      <c r="O2121" s="2"/>
    </row>
    <row r="2122" spans="1:15" x14ac:dyDescent="0.25">
      <c r="A2122" s="2" t="s">
        <v>15</v>
      </c>
      <c r="B2122" s="2" t="str">
        <f>"FES1162770134"</f>
        <v>FES1162770134</v>
      </c>
      <c r="C2122" s="2" t="s">
        <v>1266</v>
      </c>
      <c r="D2122" s="2">
        <v>1</v>
      </c>
      <c r="E2122" s="2" t="str">
        <f>"2170754278"</f>
        <v>2170754278</v>
      </c>
      <c r="F2122" s="2" t="s">
        <v>17</v>
      </c>
      <c r="G2122" s="2" t="s">
        <v>18</v>
      </c>
      <c r="H2122" s="2" t="s">
        <v>36</v>
      </c>
      <c r="I2122" s="2" t="s">
        <v>37</v>
      </c>
      <c r="J2122" s="2" t="s">
        <v>476</v>
      </c>
      <c r="K2122" s="2" t="s">
        <v>1353</v>
      </c>
      <c r="L2122" s="3">
        <v>0.36458333333333331</v>
      </c>
      <c r="M2122" s="2" t="s">
        <v>1508</v>
      </c>
      <c r="N2122" s="2" t="s">
        <v>500</v>
      </c>
      <c r="O2122" s="2"/>
    </row>
    <row r="2123" spans="1:15" x14ac:dyDescent="0.25">
      <c r="A2123" s="2" t="s">
        <v>15</v>
      </c>
      <c r="B2123" s="2" t="str">
        <f>"FES1162770254"</f>
        <v>FES1162770254</v>
      </c>
      <c r="C2123" s="2" t="s">
        <v>1266</v>
      </c>
      <c r="D2123" s="2">
        <v>1</v>
      </c>
      <c r="E2123" s="2" t="str">
        <f>"2170757511"</f>
        <v>2170757511</v>
      </c>
      <c r="F2123" s="2" t="s">
        <v>17</v>
      </c>
      <c r="G2123" s="2" t="s">
        <v>18</v>
      </c>
      <c r="H2123" s="2" t="s">
        <v>36</v>
      </c>
      <c r="I2123" s="2" t="s">
        <v>37</v>
      </c>
      <c r="J2123" s="2" t="s">
        <v>467</v>
      </c>
      <c r="K2123" s="2" t="s">
        <v>1353</v>
      </c>
      <c r="L2123" s="3">
        <v>0.34722222222222227</v>
      </c>
      <c r="M2123" s="2" t="s">
        <v>1500</v>
      </c>
      <c r="N2123" s="2" t="s">
        <v>500</v>
      </c>
      <c r="O2123" s="2"/>
    </row>
    <row r="2124" spans="1:15" x14ac:dyDescent="0.25">
      <c r="A2124" s="2" t="s">
        <v>15</v>
      </c>
      <c r="B2124" s="2" t="str">
        <f>"FES1162770137"</f>
        <v>FES1162770137</v>
      </c>
      <c r="C2124" s="2" t="s">
        <v>1266</v>
      </c>
      <c r="D2124" s="2">
        <v>1</v>
      </c>
      <c r="E2124" s="2" t="str">
        <f>"2170755218"</f>
        <v>2170755218</v>
      </c>
      <c r="F2124" s="2" t="s">
        <v>17</v>
      </c>
      <c r="G2124" s="2" t="s">
        <v>18</v>
      </c>
      <c r="H2124" s="2" t="s">
        <v>36</v>
      </c>
      <c r="I2124" s="2" t="s">
        <v>37</v>
      </c>
      <c r="J2124" s="2" t="s">
        <v>476</v>
      </c>
      <c r="K2124" s="2" t="s">
        <v>1353</v>
      </c>
      <c r="L2124" s="3">
        <v>0.36458333333333331</v>
      </c>
      <c r="M2124" s="2" t="s">
        <v>1508</v>
      </c>
      <c r="N2124" s="2" t="s">
        <v>500</v>
      </c>
      <c r="O2124" s="2"/>
    </row>
    <row r="2125" spans="1:15" x14ac:dyDescent="0.25">
      <c r="A2125" s="2" t="s">
        <v>15</v>
      </c>
      <c r="B2125" s="2" t="str">
        <f>"FES1162770227"</f>
        <v>FES1162770227</v>
      </c>
      <c r="C2125" s="2" t="s">
        <v>1266</v>
      </c>
      <c r="D2125" s="2">
        <v>1</v>
      </c>
      <c r="E2125" s="2" t="str">
        <f>"2170757472"</f>
        <v>2170757472</v>
      </c>
      <c r="F2125" s="2" t="s">
        <v>17</v>
      </c>
      <c r="G2125" s="2" t="s">
        <v>18</v>
      </c>
      <c r="H2125" s="2" t="s">
        <v>36</v>
      </c>
      <c r="I2125" s="2" t="s">
        <v>67</v>
      </c>
      <c r="J2125" s="2" t="s">
        <v>146</v>
      </c>
      <c r="K2125" s="2" t="s">
        <v>1353</v>
      </c>
      <c r="L2125" s="3">
        <v>0.38611111111111113</v>
      </c>
      <c r="M2125" s="2" t="s">
        <v>1382</v>
      </c>
      <c r="N2125" s="2" t="s">
        <v>500</v>
      </c>
      <c r="O2125" s="2"/>
    </row>
    <row r="2126" spans="1:15" x14ac:dyDescent="0.25">
      <c r="A2126" s="2" t="s">
        <v>15</v>
      </c>
      <c r="B2126" s="2" t="str">
        <f>"FES1162770147"</f>
        <v>FES1162770147</v>
      </c>
      <c r="C2126" s="2" t="s">
        <v>1266</v>
      </c>
      <c r="D2126" s="2">
        <v>1</v>
      </c>
      <c r="E2126" s="2" t="str">
        <f>"2170755630"</f>
        <v>2170755630</v>
      </c>
      <c r="F2126" s="2" t="s">
        <v>17</v>
      </c>
      <c r="G2126" s="2" t="s">
        <v>18</v>
      </c>
      <c r="H2126" s="2" t="s">
        <v>36</v>
      </c>
      <c r="I2126" s="2" t="s">
        <v>37</v>
      </c>
      <c r="J2126" s="2" t="s">
        <v>378</v>
      </c>
      <c r="K2126" s="2" t="s">
        <v>1353</v>
      </c>
      <c r="L2126" s="3">
        <v>0.40277777777777773</v>
      </c>
      <c r="M2126" s="2" t="s">
        <v>379</v>
      </c>
      <c r="N2126" s="2" t="s">
        <v>500</v>
      </c>
      <c r="O2126" s="2"/>
    </row>
    <row r="2127" spans="1:15" x14ac:dyDescent="0.25">
      <c r="A2127" s="2" t="s">
        <v>15</v>
      </c>
      <c r="B2127" s="2" t="str">
        <f>"FES1162770258"</f>
        <v>FES1162770258</v>
      </c>
      <c r="C2127" s="2" t="s">
        <v>1266</v>
      </c>
      <c r="D2127" s="2">
        <v>1</v>
      </c>
      <c r="E2127" s="2" t="str">
        <f>"2170757519"</f>
        <v>2170757519</v>
      </c>
      <c r="F2127" s="2" t="s">
        <v>17</v>
      </c>
      <c r="G2127" s="2" t="s">
        <v>18</v>
      </c>
      <c r="H2127" s="2" t="s">
        <v>18</v>
      </c>
      <c r="I2127" s="2" t="s">
        <v>57</v>
      </c>
      <c r="J2127" s="2" t="s">
        <v>906</v>
      </c>
      <c r="K2127" s="2" t="s">
        <v>1353</v>
      </c>
      <c r="L2127" s="3">
        <v>0.27777777777777779</v>
      </c>
      <c r="M2127" s="2" t="s">
        <v>1070</v>
      </c>
      <c r="N2127" s="2" t="s">
        <v>500</v>
      </c>
      <c r="O2127" s="2"/>
    </row>
    <row r="2128" spans="1:15" x14ac:dyDescent="0.25">
      <c r="A2128" s="2" t="s">
        <v>15</v>
      </c>
      <c r="B2128" s="2" t="str">
        <f>"FES1162770156"</f>
        <v>FES1162770156</v>
      </c>
      <c r="C2128" s="2" t="s">
        <v>1266</v>
      </c>
      <c r="D2128" s="2">
        <v>1</v>
      </c>
      <c r="E2128" s="2" t="str">
        <f>"2170757390"</f>
        <v>2170757390</v>
      </c>
      <c r="F2128" s="2" t="s">
        <v>17</v>
      </c>
      <c r="G2128" s="2" t="s">
        <v>18</v>
      </c>
      <c r="H2128" s="2" t="s">
        <v>36</v>
      </c>
      <c r="I2128" s="2" t="s">
        <v>37</v>
      </c>
      <c r="J2128" s="2" t="s">
        <v>54</v>
      </c>
      <c r="K2128" s="2" t="s">
        <v>1353</v>
      </c>
      <c r="L2128" s="3">
        <v>0.41666666666666669</v>
      </c>
      <c r="M2128" s="2" t="s">
        <v>1511</v>
      </c>
      <c r="N2128" s="2" t="s">
        <v>500</v>
      </c>
      <c r="O2128" s="2"/>
    </row>
    <row r="2129" spans="1:15" x14ac:dyDescent="0.25">
      <c r="A2129" s="2" t="s">
        <v>15</v>
      </c>
      <c r="B2129" s="2" t="str">
        <f>"FES1162770250"</f>
        <v>FES1162770250</v>
      </c>
      <c r="C2129" s="2" t="s">
        <v>1266</v>
      </c>
      <c r="D2129" s="2">
        <v>1</v>
      </c>
      <c r="E2129" s="2" t="str">
        <f>"2170757498"</f>
        <v>2170757498</v>
      </c>
      <c r="F2129" s="2" t="s">
        <v>17</v>
      </c>
      <c r="G2129" s="2" t="s">
        <v>18</v>
      </c>
      <c r="H2129" s="2" t="s">
        <v>88</v>
      </c>
      <c r="I2129" s="2" t="s">
        <v>109</v>
      </c>
      <c r="J2129" s="2" t="s">
        <v>779</v>
      </c>
      <c r="K2129" s="2" t="s">
        <v>1353</v>
      </c>
      <c r="L2129" s="3">
        <v>0.4375</v>
      </c>
      <c r="M2129" s="2" t="s">
        <v>1363</v>
      </c>
      <c r="N2129" s="2" t="s">
        <v>500</v>
      </c>
      <c r="O2129" s="2"/>
    </row>
    <row r="2130" spans="1:15" x14ac:dyDescent="0.25">
      <c r="A2130" s="2" t="s">
        <v>15</v>
      </c>
      <c r="B2130" s="2" t="str">
        <f>"FES1162769680"</f>
        <v>FES1162769680</v>
      </c>
      <c r="C2130" s="2" t="s">
        <v>1266</v>
      </c>
      <c r="D2130" s="2">
        <v>1</v>
      </c>
      <c r="E2130" s="2" t="str">
        <f>"2170756789"</f>
        <v>2170756789</v>
      </c>
      <c r="F2130" s="2" t="s">
        <v>17</v>
      </c>
      <c r="G2130" s="2" t="s">
        <v>18</v>
      </c>
      <c r="H2130" s="2" t="s">
        <v>18</v>
      </c>
      <c r="I2130" s="2" t="s">
        <v>52</v>
      </c>
      <c r="J2130" s="2" t="s">
        <v>1460</v>
      </c>
      <c r="K2130" s="2" t="s">
        <v>1353</v>
      </c>
      <c r="L2130" s="3">
        <v>0.43194444444444446</v>
      </c>
      <c r="M2130" s="2" t="s">
        <v>1576</v>
      </c>
      <c r="N2130" s="2" t="s">
        <v>500</v>
      </c>
      <c r="O2130" s="2"/>
    </row>
    <row r="2131" spans="1:15" x14ac:dyDescent="0.25">
      <c r="A2131" s="2" t="s">
        <v>15</v>
      </c>
      <c r="B2131" s="2" t="str">
        <f>"FES1162769543"</f>
        <v>FES1162769543</v>
      </c>
      <c r="C2131" s="2" t="s">
        <v>1266</v>
      </c>
      <c r="D2131" s="2">
        <v>1</v>
      </c>
      <c r="E2131" s="2" t="str">
        <f>"2170756450"</f>
        <v>2170756450</v>
      </c>
      <c r="F2131" s="2" t="s">
        <v>17</v>
      </c>
      <c r="G2131" s="2" t="s">
        <v>18</v>
      </c>
      <c r="H2131" s="2" t="s">
        <v>484</v>
      </c>
      <c r="I2131" s="2" t="s">
        <v>485</v>
      </c>
      <c r="J2131" s="2" t="s">
        <v>486</v>
      </c>
      <c r="K2131" s="2" t="s">
        <v>1353</v>
      </c>
      <c r="L2131" s="3">
        <v>0.3756944444444445</v>
      </c>
      <c r="M2131" s="2" t="s">
        <v>288</v>
      </c>
      <c r="N2131" s="2" t="s">
        <v>500</v>
      </c>
      <c r="O2131" s="2"/>
    </row>
    <row r="2132" spans="1:15" x14ac:dyDescent="0.25">
      <c r="A2132" s="2" t="s">
        <v>15</v>
      </c>
      <c r="B2132" s="2" t="str">
        <f>"FES1162770221"</f>
        <v>FES1162770221</v>
      </c>
      <c r="C2132" s="2" t="s">
        <v>1266</v>
      </c>
      <c r="D2132" s="2">
        <v>1</v>
      </c>
      <c r="E2132" s="2" t="str">
        <f>"2170757475"</f>
        <v>2170757475</v>
      </c>
      <c r="F2132" s="2" t="s">
        <v>17</v>
      </c>
      <c r="G2132" s="2" t="s">
        <v>18</v>
      </c>
      <c r="H2132" s="2" t="s">
        <v>36</v>
      </c>
      <c r="I2132" s="2" t="s">
        <v>134</v>
      </c>
      <c r="J2132" s="2" t="s">
        <v>135</v>
      </c>
      <c r="K2132" s="2" t="s">
        <v>1353</v>
      </c>
      <c r="L2132" s="3">
        <v>0.40625</v>
      </c>
      <c r="M2132" s="2" t="s">
        <v>744</v>
      </c>
      <c r="N2132" s="2" t="s">
        <v>500</v>
      </c>
      <c r="O2132" s="2"/>
    </row>
    <row r="2133" spans="1:15" x14ac:dyDescent="0.25">
      <c r="A2133" s="2" t="s">
        <v>15</v>
      </c>
      <c r="B2133" s="2" t="str">
        <f>"FES1162770115"</f>
        <v>FES1162770115</v>
      </c>
      <c r="C2133" s="2" t="s">
        <v>1266</v>
      </c>
      <c r="D2133" s="2">
        <v>1</v>
      </c>
      <c r="E2133" s="2" t="str">
        <f>"2170757126"</f>
        <v>2170757126</v>
      </c>
      <c r="F2133" s="2" t="s">
        <v>17</v>
      </c>
      <c r="G2133" s="2" t="s">
        <v>18</v>
      </c>
      <c r="H2133" s="2" t="s">
        <v>36</v>
      </c>
      <c r="I2133" s="2" t="s">
        <v>37</v>
      </c>
      <c r="J2133" s="2" t="s">
        <v>1455</v>
      </c>
      <c r="K2133" s="2" t="s">
        <v>1353</v>
      </c>
      <c r="L2133" s="3">
        <v>0.34722222222222227</v>
      </c>
      <c r="M2133" s="2" t="s">
        <v>1577</v>
      </c>
      <c r="N2133" s="2" t="s">
        <v>500</v>
      </c>
      <c r="O2133" s="2"/>
    </row>
    <row r="2134" spans="1:15" x14ac:dyDescent="0.25">
      <c r="A2134" s="2" t="s">
        <v>15</v>
      </c>
      <c r="B2134" s="2" t="str">
        <f>"FES1162770176"</f>
        <v>FES1162770176</v>
      </c>
      <c r="C2134" s="2" t="s">
        <v>1266</v>
      </c>
      <c r="D2134" s="2">
        <v>1</v>
      </c>
      <c r="E2134" s="2" t="str">
        <f>"2170756200"</f>
        <v>2170756200</v>
      </c>
      <c r="F2134" s="2" t="s">
        <v>17</v>
      </c>
      <c r="G2134" s="2" t="s">
        <v>18</v>
      </c>
      <c r="H2134" s="2" t="s">
        <v>36</v>
      </c>
      <c r="I2134" s="2" t="s">
        <v>134</v>
      </c>
      <c r="J2134" s="2" t="s">
        <v>66</v>
      </c>
      <c r="K2134" s="2" t="s">
        <v>1353</v>
      </c>
      <c r="L2134" s="3">
        <v>0.5625</v>
      </c>
      <c r="M2134" s="2" t="s">
        <v>1578</v>
      </c>
      <c r="N2134" s="2" t="s">
        <v>500</v>
      </c>
      <c r="O2134" s="2"/>
    </row>
    <row r="2135" spans="1:15" x14ac:dyDescent="0.25">
      <c r="A2135" s="2" t="s">
        <v>15</v>
      </c>
      <c r="B2135" s="2" t="str">
        <f>"FES1162770105"</f>
        <v>FES1162770105</v>
      </c>
      <c r="C2135" s="2" t="s">
        <v>1266</v>
      </c>
      <c r="D2135" s="2">
        <v>1</v>
      </c>
      <c r="E2135" s="2" t="str">
        <f>"2170755964"</f>
        <v>2170755964</v>
      </c>
      <c r="F2135" s="2" t="s">
        <v>17</v>
      </c>
      <c r="G2135" s="2" t="s">
        <v>18</v>
      </c>
      <c r="H2135" s="2" t="s">
        <v>18</v>
      </c>
      <c r="I2135" s="2" t="s">
        <v>63</v>
      </c>
      <c r="J2135" s="2" t="s">
        <v>93</v>
      </c>
      <c r="K2135" s="2" t="s">
        <v>1353</v>
      </c>
      <c r="L2135" s="3">
        <v>0.34652777777777777</v>
      </c>
      <c r="M2135" s="2" t="s">
        <v>736</v>
      </c>
      <c r="N2135" s="2" t="s">
        <v>500</v>
      </c>
      <c r="O2135" s="2"/>
    </row>
    <row r="2136" spans="1:15" x14ac:dyDescent="0.25">
      <c r="A2136" s="2" t="s">
        <v>15</v>
      </c>
      <c r="B2136" s="2" t="str">
        <f>"009940283634"</f>
        <v>009940283634</v>
      </c>
      <c r="C2136" s="2" t="s">
        <v>1266</v>
      </c>
      <c r="D2136" s="2">
        <v>1</v>
      </c>
      <c r="E2136" s="2" t="str">
        <f>"1162766055"</f>
        <v>1162766055</v>
      </c>
      <c r="F2136" s="2" t="s">
        <v>17</v>
      </c>
      <c r="G2136" s="2" t="s">
        <v>18</v>
      </c>
      <c r="H2136" s="2" t="s">
        <v>19</v>
      </c>
      <c r="I2136" s="2" t="s">
        <v>130</v>
      </c>
      <c r="J2136" s="2" t="s">
        <v>131</v>
      </c>
      <c r="K2136" s="2" t="s">
        <v>1353</v>
      </c>
      <c r="L2136" s="3">
        <v>0.34652777777777777</v>
      </c>
      <c r="M2136" s="2" t="s">
        <v>236</v>
      </c>
      <c r="N2136" s="2" t="s">
        <v>500</v>
      </c>
      <c r="O2136" s="2"/>
    </row>
    <row r="2137" spans="1:15" x14ac:dyDescent="0.25">
      <c r="A2137" s="2" t="s">
        <v>15</v>
      </c>
      <c r="B2137" s="2" t="str">
        <f>"FES1162769480"</f>
        <v>FES1162769480</v>
      </c>
      <c r="C2137" s="2" t="s">
        <v>1266</v>
      </c>
      <c r="D2137" s="2">
        <v>1</v>
      </c>
      <c r="E2137" s="2" t="str">
        <f>"2170754746"</f>
        <v>2170754746</v>
      </c>
      <c r="F2137" s="2" t="s">
        <v>17</v>
      </c>
      <c r="G2137" s="2" t="s">
        <v>18</v>
      </c>
      <c r="H2137" s="2" t="s">
        <v>18</v>
      </c>
      <c r="I2137" s="2" t="s">
        <v>82</v>
      </c>
      <c r="J2137" s="2" t="s">
        <v>83</v>
      </c>
      <c r="K2137" s="2" t="s">
        <v>1353</v>
      </c>
      <c r="L2137" s="3">
        <v>0.37152777777777773</v>
      </c>
      <c r="M2137" s="2" t="s">
        <v>1367</v>
      </c>
      <c r="N2137" s="2" t="s">
        <v>500</v>
      </c>
      <c r="O2137" s="2"/>
    </row>
    <row r="2138" spans="1:15" x14ac:dyDescent="0.25">
      <c r="A2138" s="2" t="s">
        <v>15</v>
      </c>
      <c r="B2138" s="2" t="str">
        <f>"FES1162767508"</f>
        <v>FES1162767508</v>
      </c>
      <c r="C2138" s="2" t="s">
        <v>1266</v>
      </c>
      <c r="D2138" s="2">
        <v>1</v>
      </c>
      <c r="E2138" s="2" t="str">
        <f>"2170750262"</f>
        <v>2170750262</v>
      </c>
      <c r="F2138" s="2" t="s">
        <v>17</v>
      </c>
      <c r="G2138" s="2" t="s">
        <v>18</v>
      </c>
      <c r="H2138" s="2" t="s">
        <v>18</v>
      </c>
      <c r="I2138" s="2" t="s">
        <v>50</v>
      </c>
      <c r="J2138" s="2" t="s">
        <v>1461</v>
      </c>
      <c r="K2138" s="2" t="s">
        <v>1513</v>
      </c>
      <c r="L2138" s="3">
        <v>0.3833333333333333</v>
      </c>
      <c r="M2138" s="2" t="s">
        <v>1579</v>
      </c>
      <c r="N2138" s="2" t="s">
        <v>500</v>
      </c>
      <c r="O2138" s="2"/>
    </row>
    <row r="2139" spans="1:15" x14ac:dyDescent="0.25">
      <c r="A2139" s="2" t="s">
        <v>15</v>
      </c>
      <c r="B2139" s="2" t="str">
        <f>"FES1162769522"</f>
        <v>FES1162769522</v>
      </c>
      <c r="C2139" s="2" t="s">
        <v>1266</v>
      </c>
      <c r="D2139" s="2">
        <v>1</v>
      </c>
      <c r="E2139" s="2" t="str">
        <f>"2170755652"</f>
        <v>2170755652</v>
      </c>
      <c r="F2139" s="2" t="s">
        <v>17</v>
      </c>
      <c r="G2139" s="2" t="s">
        <v>18</v>
      </c>
      <c r="H2139" s="2" t="s">
        <v>18</v>
      </c>
      <c r="I2139" s="2" t="s">
        <v>873</v>
      </c>
      <c r="J2139" s="2" t="s">
        <v>66</v>
      </c>
      <c r="K2139" s="2" t="s">
        <v>1353</v>
      </c>
      <c r="L2139" s="3">
        <v>0.33333333333333331</v>
      </c>
      <c r="M2139" s="2" t="s">
        <v>1153</v>
      </c>
      <c r="N2139" s="2" t="s">
        <v>500</v>
      </c>
      <c r="O2139" s="2"/>
    </row>
    <row r="2140" spans="1:15" x14ac:dyDescent="0.25">
      <c r="A2140" s="2" t="s">
        <v>15</v>
      </c>
      <c r="B2140" s="2" t="str">
        <f>"FES1162769507"</f>
        <v>FES1162769507</v>
      </c>
      <c r="C2140" s="2" t="s">
        <v>1266</v>
      </c>
      <c r="D2140" s="2">
        <v>1</v>
      </c>
      <c r="E2140" s="2" t="str">
        <f>"2170755280"</f>
        <v>2170755280</v>
      </c>
      <c r="F2140" s="2" t="s">
        <v>17</v>
      </c>
      <c r="G2140" s="2" t="s">
        <v>18</v>
      </c>
      <c r="H2140" s="2" t="s">
        <v>88</v>
      </c>
      <c r="I2140" s="2" t="s">
        <v>109</v>
      </c>
      <c r="J2140" s="2" t="s">
        <v>110</v>
      </c>
      <c r="K2140" s="2" t="s">
        <v>1353</v>
      </c>
      <c r="L2140" s="3">
        <v>0.45763888888888887</v>
      </c>
      <c r="M2140" s="2" t="s">
        <v>224</v>
      </c>
      <c r="N2140" s="2" t="s">
        <v>500</v>
      </c>
      <c r="O2140" s="2"/>
    </row>
    <row r="2141" spans="1:15" x14ac:dyDescent="0.25">
      <c r="A2141" s="2" t="s">
        <v>15</v>
      </c>
      <c r="B2141" s="2" t="str">
        <f>"FES1162770129"</f>
        <v>FES1162770129</v>
      </c>
      <c r="C2141" s="2" t="s">
        <v>1266</v>
      </c>
      <c r="D2141" s="2">
        <v>1</v>
      </c>
      <c r="E2141" s="2" t="str">
        <f>"2170757369"</f>
        <v>2170757369</v>
      </c>
      <c r="F2141" s="2" t="s">
        <v>17</v>
      </c>
      <c r="G2141" s="2" t="s">
        <v>18</v>
      </c>
      <c r="H2141" s="2" t="s">
        <v>36</v>
      </c>
      <c r="I2141" s="2" t="s">
        <v>37</v>
      </c>
      <c r="J2141" s="2" t="s">
        <v>378</v>
      </c>
      <c r="K2141" s="2" t="s">
        <v>1353</v>
      </c>
      <c r="L2141" s="3">
        <v>0.40277777777777773</v>
      </c>
      <c r="M2141" s="2" t="s">
        <v>408</v>
      </c>
      <c r="N2141" s="2" t="s">
        <v>500</v>
      </c>
      <c r="O2141" s="2"/>
    </row>
    <row r="2142" spans="1:15" x14ac:dyDescent="0.25">
      <c r="A2142" s="2" t="s">
        <v>15</v>
      </c>
      <c r="B2142" s="2" t="str">
        <f>"FES1162770253"</f>
        <v>FES1162770253</v>
      </c>
      <c r="C2142" s="2" t="s">
        <v>1266</v>
      </c>
      <c r="D2142" s="2">
        <v>1</v>
      </c>
      <c r="E2142" s="2" t="str">
        <f>"2170757510"</f>
        <v>2170757510</v>
      </c>
      <c r="F2142" s="2" t="s">
        <v>17</v>
      </c>
      <c r="G2142" s="2" t="s">
        <v>18</v>
      </c>
      <c r="H2142" s="2" t="s">
        <v>33</v>
      </c>
      <c r="I2142" s="2" t="s">
        <v>34</v>
      </c>
      <c r="J2142" s="2" t="s">
        <v>69</v>
      </c>
      <c r="K2142" s="2" t="s">
        <v>1353</v>
      </c>
      <c r="L2142" s="3">
        <v>0.43333333333333335</v>
      </c>
      <c r="M2142" s="2" t="s">
        <v>1580</v>
      </c>
      <c r="N2142" s="2" t="s">
        <v>500</v>
      </c>
      <c r="O2142" s="2"/>
    </row>
    <row r="2143" spans="1:15" x14ac:dyDescent="0.25">
      <c r="A2143" s="2" t="s">
        <v>15</v>
      </c>
      <c r="B2143" s="2" t="str">
        <f>"FES1162769968"</f>
        <v>FES1162769968</v>
      </c>
      <c r="C2143" s="2" t="s">
        <v>1266</v>
      </c>
      <c r="D2143" s="2">
        <v>1</v>
      </c>
      <c r="E2143" s="2" t="str">
        <f>"2170755631"</f>
        <v>2170755631</v>
      </c>
      <c r="F2143" s="2" t="s">
        <v>17</v>
      </c>
      <c r="G2143" s="2" t="s">
        <v>18</v>
      </c>
      <c r="H2143" s="2" t="s">
        <v>36</v>
      </c>
      <c r="I2143" s="2" t="s">
        <v>37</v>
      </c>
      <c r="J2143" s="2" t="s">
        <v>378</v>
      </c>
      <c r="K2143" s="2" t="s">
        <v>1353</v>
      </c>
      <c r="L2143" s="3">
        <v>0.40277777777777773</v>
      </c>
      <c r="M2143" s="2" t="s">
        <v>379</v>
      </c>
      <c r="N2143" s="2" t="s">
        <v>500</v>
      </c>
      <c r="O2143" s="2"/>
    </row>
    <row r="2144" spans="1:15" x14ac:dyDescent="0.25">
      <c r="A2144" s="2" t="s">
        <v>15</v>
      </c>
      <c r="B2144" s="2" t="str">
        <f>"FES1162770188"</f>
        <v>FES1162770188</v>
      </c>
      <c r="C2144" s="2" t="s">
        <v>1266</v>
      </c>
      <c r="D2144" s="2">
        <v>1</v>
      </c>
      <c r="E2144" s="2" t="str">
        <f>"2170752956"</f>
        <v>2170752956</v>
      </c>
      <c r="F2144" s="2" t="s">
        <v>17</v>
      </c>
      <c r="G2144" s="2" t="s">
        <v>18</v>
      </c>
      <c r="H2144" s="2" t="s">
        <v>36</v>
      </c>
      <c r="I2144" s="2" t="s">
        <v>37</v>
      </c>
      <c r="J2144" s="2" t="s">
        <v>55</v>
      </c>
      <c r="K2144" s="2" t="s">
        <v>1353</v>
      </c>
      <c r="L2144" s="3">
        <v>0.36805555555555558</v>
      </c>
      <c r="M2144" s="2" t="s">
        <v>1470</v>
      </c>
      <c r="N2144" s="2" t="s">
        <v>500</v>
      </c>
      <c r="O2144" s="2"/>
    </row>
    <row r="2145" spans="1:15" x14ac:dyDescent="0.25">
      <c r="A2145" s="2" t="s">
        <v>15</v>
      </c>
      <c r="B2145" s="2" t="str">
        <f>"FES1162770220"</f>
        <v>FES1162770220</v>
      </c>
      <c r="C2145" s="2" t="s">
        <v>1266</v>
      </c>
      <c r="D2145" s="2">
        <v>1</v>
      </c>
      <c r="E2145" s="2" t="str">
        <f>"2170757471"</f>
        <v>2170757471</v>
      </c>
      <c r="F2145" s="2" t="s">
        <v>17</v>
      </c>
      <c r="G2145" s="2" t="s">
        <v>18</v>
      </c>
      <c r="H2145" s="2" t="s">
        <v>78</v>
      </c>
      <c r="I2145" s="2" t="s">
        <v>79</v>
      </c>
      <c r="J2145" s="2" t="s">
        <v>446</v>
      </c>
      <c r="K2145" s="2" t="s">
        <v>1353</v>
      </c>
      <c r="L2145" s="3">
        <v>0.39861111111111108</v>
      </c>
      <c r="M2145" s="2" t="s">
        <v>199</v>
      </c>
      <c r="N2145" s="2" t="s">
        <v>500</v>
      </c>
      <c r="O2145" s="2"/>
    </row>
    <row r="2146" spans="1:15" x14ac:dyDescent="0.25">
      <c r="A2146" s="2" t="s">
        <v>15</v>
      </c>
      <c r="B2146" s="2" t="str">
        <f>"FES1162770263"</f>
        <v>FES1162770263</v>
      </c>
      <c r="C2146" s="2" t="s">
        <v>1266</v>
      </c>
      <c r="D2146" s="2">
        <v>1</v>
      </c>
      <c r="E2146" s="2" t="str">
        <f>"2170753557"</f>
        <v>2170753557</v>
      </c>
      <c r="F2146" s="2" t="s">
        <v>17</v>
      </c>
      <c r="G2146" s="2" t="s">
        <v>18</v>
      </c>
      <c r="H2146" s="2" t="s">
        <v>18</v>
      </c>
      <c r="I2146" s="2" t="s">
        <v>57</v>
      </c>
      <c r="J2146" s="2" t="s">
        <v>903</v>
      </c>
      <c r="K2146" s="2" t="s">
        <v>1353</v>
      </c>
      <c r="L2146" s="3">
        <v>0.32222222222222224</v>
      </c>
      <c r="M2146" s="2" t="s">
        <v>1072</v>
      </c>
      <c r="N2146" s="2" t="s">
        <v>500</v>
      </c>
      <c r="O2146" s="2"/>
    </row>
    <row r="2147" spans="1:15" x14ac:dyDescent="0.25">
      <c r="A2147" s="2" t="s">
        <v>15</v>
      </c>
      <c r="B2147" s="2" t="str">
        <f>"FES1162769457"</f>
        <v>FES1162769457</v>
      </c>
      <c r="C2147" s="2" t="s">
        <v>1266</v>
      </c>
      <c r="D2147" s="2">
        <v>1</v>
      </c>
      <c r="E2147" s="2" t="str">
        <f>"2170753007"</f>
        <v>2170753007</v>
      </c>
      <c r="F2147" s="2" t="s">
        <v>17</v>
      </c>
      <c r="G2147" s="2" t="s">
        <v>18</v>
      </c>
      <c r="H2147" s="2" t="s">
        <v>25</v>
      </c>
      <c r="I2147" s="2" t="s">
        <v>26</v>
      </c>
      <c r="J2147" s="2" t="s">
        <v>27</v>
      </c>
      <c r="K2147" s="2" t="s">
        <v>1353</v>
      </c>
      <c r="L2147" s="3">
        <v>0.40347222222222223</v>
      </c>
      <c r="M2147" s="2" t="s">
        <v>521</v>
      </c>
      <c r="N2147" s="2" t="s">
        <v>500</v>
      </c>
      <c r="O2147" s="2"/>
    </row>
    <row r="2148" spans="1:15" x14ac:dyDescent="0.25">
      <c r="A2148" s="2" t="s">
        <v>15</v>
      </c>
      <c r="B2148" s="2" t="str">
        <f>"FES1162770135"</f>
        <v>FES1162770135</v>
      </c>
      <c r="C2148" s="2" t="s">
        <v>1353</v>
      </c>
      <c r="D2148" s="2">
        <v>1</v>
      </c>
      <c r="E2148" s="2" t="str">
        <f>"2170754458"</f>
        <v>2170754458</v>
      </c>
      <c r="F2148" s="2" t="s">
        <v>17</v>
      </c>
      <c r="G2148" s="2" t="s">
        <v>18</v>
      </c>
      <c r="H2148" s="2" t="s">
        <v>88</v>
      </c>
      <c r="I2148" s="2" t="s">
        <v>109</v>
      </c>
      <c r="J2148" s="2" t="s">
        <v>452</v>
      </c>
      <c r="K2148" s="2" t="s">
        <v>1506</v>
      </c>
      <c r="L2148" s="3">
        <v>0.42569444444444443</v>
      </c>
      <c r="M2148" s="2" t="s">
        <v>1581</v>
      </c>
      <c r="N2148" s="2" t="s">
        <v>500</v>
      </c>
      <c r="O2148" s="2"/>
    </row>
    <row r="2149" spans="1:15" x14ac:dyDescent="0.25">
      <c r="A2149" s="2" t="s">
        <v>15</v>
      </c>
      <c r="B2149" s="2" t="str">
        <f>"FES1162770032"</f>
        <v>FES1162770032</v>
      </c>
      <c r="C2149" s="2" t="s">
        <v>1353</v>
      </c>
      <c r="D2149" s="2">
        <v>1</v>
      </c>
      <c r="E2149" s="2" t="str">
        <f>"2170757261"</f>
        <v>2170757261</v>
      </c>
      <c r="F2149" s="2" t="s">
        <v>17</v>
      </c>
      <c r="G2149" s="2" t="s">
        <v>18</v>
      </c>
      <c r="H2149" s="2" t="s">
        <v>36</v>
      </c>
      <c r="I2149" s="2" t="s">
        <v>37</v>
      </c>
      <c r="J2149" s="2" t="s">
        <v>104</v>
      </c>
      <c r="K2149" s="2" t="s">
        <v>1506</v>
      </c>
      <c r="L2149" s="3">
        <v>0.43402777777777773</v>
      </c>
      <c r="M2149" s="2" t="s">
        <v>1582</v>
      </c>
      <c r="N2149" s="2" t="s">
        <v>500</v>
      </c>
      <c r="O2149" s="2"/>
    </row>
    <row r="2150" spans="1:15" x14ac:dyDescent="0.25">
      <c r="A2150" s="2" t="s">
        <v>15</v>
      </c>
      <c r="B2150" s="2" t="str">
        <f>"FES1162770255"</f>
        <v>FES1162770255</v>
      </c>
      <c r="C2150" s="2" t="s">
        <v>1353</v>
      </c>
      <c r="D2150" s="2">
        <v>1</v>
      </c>
      <c r="E2150" s="2" t="str">
        <f>"2170757512"</f>
        <v>2170757512</v>
      </c>
      <c r="F2150" s="2" t="s">
        <v>17</v>
      </c>
      <c r="G2150" s="2" t="s">
        <v>18</v>
      </c>
      <c r="H2150" s="2" t="s">
        <v>33</v>
      </c>
      <c r="I2150" s="2" t="s">
        <v>34</v>
      </c>
      <c r="J2150" s="2" t="s">
        <v>69</v>
      </c>
      <c r="K2150" s="2" t="s">
        <v>1506</v>
      </c>
      <c r="L2150" s="3">
        <v>0.43333333333333335</v>
      </c>
      <c r="M2150" s="2" t="s">
        <v>1583</v>
      </c>
      <c r="N2150" s="2" t="s">
        <v>500</v>
      </c>
      <c r="O2150" s="2"/>
    </row>
    <row r="2151" spans="1:15" x14ac:dyDescent="0.25">
      <c r="A2151" s="2" t="s">
        <v>15</v>
      </c>
      <c r="B2151" s="2" t="str">
        <f>"FES1162769518"</f>
        <v>FES1162769518</v>
      </c>
      <c r="C2151" s="2" t="s">
        <v>1353</v>
      </c>
      <c r="D2151" s="2">
        <v>1</v>
      </c>
      <c r="E2151" s="2" t="str">
        <f>"2170755592"</f>
        <v>2170755592</v>
      </c>
      <c r="F2151" s="2" t="s">
        <v>17</v>
      </c>
      <c r="G2151" s="2" t="s">
        <v>18</v>
      </c>
      <c r="H2151" s="2" t="s">
        <v>18</v>
      </c>
      <c r="I2151" s="2" t="s">
        <v>50</v>
      </c>
      <c r="J2151" s="2" t="s">
        <v>285</v>
      </c>
      <c r="K2151" s="2" t="s">
        <v>1506</v>
      </c>
      <c r="L2151" s="3">
        <v>0.375</v>
      </c>
      <c r="M2151" s="2" t="s">
        <v>1584</v>
      </c>
      <c r="N2151" s="2" t="s">
        <v>500</v>
      </c>
      <c r="O2151" s="2"/>
    </row>
    <row r="2152" spans="1:15" x14ac:dyDescent="0.25">
      <c r="A2152" s="2" t="s">
        <v>15</v>
      </c>
      <c r="B2152" s="2" t="str">
        <f>"FES1162770314"</f>
        <v>FES1162770314</v>
      </c>
      <c r="C2152" s="2" t="s">
        <v>1353</v>
      </c>
      <c r="D2152" s="2">
        <v>1</v>
      </c>
      <c r="E2152" s="2" t="str">
        <f>"2170757594"</f>
        <v>2170757594</v>
      </c>
      <c r="F2152" s="2" t="s">
        <v>17</v>
      </c>
      <c r="G2152" s="2" t="s">
        <v>18</v>
      </c>
      <c r="H2152" s="2" t="s">
        <v>25</v>
      </c>
      <c r="I2152" s="2" t="s">
        <v>125</v>
      </c>
      <c r="J2152" s="2" t="s">
        <v>126</v>
      </c>
      <c r="K2152" s="2" t="s">
        <v>1506</v>
      </c>
      <c r="L2152" s="3">
        <v>0.41666666666666669</v>
      </c>
      <c r="M2152" s="2" t="s">
        <v>1189</v>
      </c>
      <c r="N2152" s="2" t="s">
        <v>500</v>
      </c>
      <c r="O2152" s="2"/>
    </row>
    <row r="2153" spans="1:15" x14ac:dyDescent="0.25">
      <c r="A2153" s="2" t="s">
        <v>15</v>
      </c>
      <c r="B2153" s="2" t="str">
        <f>"FES1162770242"</f>
        <v>FES1162770242</v>
      </c>
      <c r="C2153" s="2" t="s">
        <v>1353</v>
      </c>
      <c r="D2153" s="2">
        <v>1</v>
      </c>
      <c r="E2153" s="2" t="str">
        <f>"2170756747"</f>
        <v>2170756747</v>
      </c>
      <c r="F2153" s="2" t="s">
        <v>17</v>
      </c>
      <c r="G2153" s="2" t="s">
        <v>18</v>
      </c>
      <c r="H2153" s="2" t="s">
        <v>18</v>
      </c>
      <c r="I2153" s="2" t="s">
        <v>107</v>
      </c>
      <c r="J2153" s="2" t="s">
        <v>1027</v>
      </c>
      <c r="K2153" s="2" t="s">
        <v>1513</v>
      </c>
      <c r="L2153" s="3">
        <v>0.375</v>
      </c>
      <c r="M2153" s="2" t="s">
        <v>1585</v>
      </c>
      <c r="N2153" s="2" t="s">
        <v>500</v>
      </c>
      <c r="O2153" s="2"/>
    </row>
    <row r="2154" spans="1:15" x14ac:dyDescent="0.25">
      <c r="A2154" s="2" t="s">
        <v>15</v>
      </c>
      <c r="B2154" s="2" t="str">
        <f>"FES1162770247"</f>
        <v>FES1162770247</v>
      </c>
      <c r="C2154" s="2" t="s">
        <v>1353</v>
      </c>
      <c r="D2154" s="2">
        <v>1</v>
      </c>
      <c r="E2154" s="2" t="str">
        <f>"2170757197"</f>
        <v>2170757197</v>
      </c>
      <c r="F2154" s="2" t="s">
        <v>17</v>
      </c>
      <c r="G2154" s="2" t="s">
        <v>18</v>
      </c>
      <c r="H2154" s="2" t="s">
        <v>19</v>
      </c>
      <c r="I2154" s="2" t="s">
        <v>20</v>
      </c>
      <c r="J2154" s="2" t="s">
        <v>327</v>
      </c>
      <c r="K2154" s="2" t="s">
        <v>1506</v>
      </c>
      <c r="L2154" s="3">
        <v>0.2986111111111111</v>
      </c>
      <c r="M2154" s="2" t="s">
        <v>529</v>
      </c>
      <c r="N2154" s="2" t="s">
        <v>500</v>
      </c>
      <c r="O2154" s="2"/>
    </row>
    <row r="2155" spans="1:15" x14ac:dyDescent="0.25">
      <c r="A2155" s="2" t="s">
        <v>15</v>
      </c>
      <c r="B2155" s="2" t="str">
        <f>"FES1162770241"</f>
        <v>FES1162770241</v>
      </c>
      <c r="C2155" s="2" t="s">
        <v>1353</v>
      </c>
      <c r="D2155" s="2">
        <v>1</v>
      </c>
      <c r="E2155" s="2" t="str">
        <f>"2170756490"</f>
        <v>2170756490</v>
      </c>
      <c r="F2155" s="2" t="s">
        <v>17</v>
      </c>
      <c r="G2155" s="2" t="s">
        <v>18</v>
      </c>
      <c r="H2155" s="2" t="s">
        <v>18</v>
      </c>
      <c r="I2155" s="2" t="s">
        <v>107</v>
      </c>
      <c r="J2155" s="2" t="s">
        <v>1027</v>
      </c>
      <c r="K2155" s="2" t="s">
        <v>1513</v>
      </c>
      <c r="L2155" s="3">
        <v>0.375</v>
      </c>
      <c r="M2155" s="2" t="s">
        <v>1586</v>
      </c>
      <c r="N2155" s="2" t="s">
        <v>500</v>
      </c>
      <c r="O2155" s="2"/>
    </row>
    <row r="2156" spans="1:15" x14ac:dyDescent="0.25">
      <c r="A2156" s="2" t="s">
        <v>15</v>
      </c>
      <c r="B2156" s="2" t="str">
        <f>"FES1162770259"</f>
        <v>FES1162770259</v>
      </c>
      <c r="C2156" s="2" t="s">
        <v>1353</v>
      </c>
      <c r="D2156" s="2">
        <v>1</v>
      </c>
      <c r="E2156" s="2" t="str">
        <f>"2170757520"</f>
        <v>2170757520</v>
      </c>
      <c r="F2156" s="2" t="s">
        <v>17</v>
      </c>
      <c r="G2156" s="2" t="s">
        <v>18</v>
      </c>
      <c r="H2156" s="2" t="s">
        <v>19</v>
      </c>
      <c r="I2156" s="2" t="s">
        <v>111</v>
      </c>
      <c r="J2156" s="2" t="s">
        <v>112</v>
      </c>
      <c r="K2156" s="2" t="s">
        <v>1506</v>
      </c>
      <c r="L2156" s="3">
        <v>0.4055555555555555</v>
      </c>
      <c r="M2156" s="2" t="s">
        <v>986</v>
      </c>
      <c r="N2156" s="2" t="s">
        <v>500</v>
      </c>
      <c r="O2156" s="2"/>
    </row>
    <row r="2157" spans="1:15" x14ac:dyDescent="0.25">
      <c r="A2157" s="2" t="s">
        <v>15</v>
      </c>
      <c r="B2157" s="2" t="str">
        <f>"FES1162769487"</f>
        <v>FES1162769487</v>
      </c>
      <c r="C2157" s="2" t="s">
        <v>1353</v>
      </c>
      <c r="D2157" s="2">
        <v>1</v>
      </c>
      <c r="E2157" s="2" t="str">
        <f>"2170754819"</f>
        <v>2170754819</v>
      </c>
      <c r="F2157" s="2" t="s">
        <v>17</v>
      </c>
      <c r="G2157" s="2" t="s">
        <v>18</v>
      </c>
      <c r="H2157" s="2" t="s">
        <v>18</v>
      </c>
      <c r="I2157" s="2" t="s">
        <v>57</v>
      </c>
      <c r="J2157" s="2" t="s">
        <v>1587</v>
      </c>
      <c r="K2157" s="2" t="s">
        <v>1506</v>
      </c>
      <c r="L2157" s="3">
        <v>0.2638888888888889</v>
      </c>
      <c r="M2157" s="2" t="s">
        <v>366</v>
      </c>
      <c r="N2157" s="2" t="s">
        <v>500</v>
      </c>
      <c r="O2157" s="2"/>
    </row>
    <row r="2158" spans="1:15" x14ac:dyDescent="0.25">
      <c r="A2158" s="2" t="s">
        <v>15</v>
      </c>
      <c r="B2158" s="2" t="str">
        <f>"FES1162770235"</f>
        <v>FES1162770235</v>
      </c>
      <c r="C2158" s="2" t="s">
        <v>1353</v>
      </c>
      <c r="D2158" s="2">
        <v>1</v>
      </c>
      <c r="E2158" s="2" t="str">
        <f>"2170757480"</f>
        <v>2170757480</v>
      </c>
      <c r="F2158" s="2" t="s">
        <v>17</v>
      </c>
      <c r="G2158" s="2" t="s">
        <v>18</v>
      </c>
      <c r="H2158" s="2" t="s">
        <v>78</v>
      </c>
      <c r="I2158" s="2" t="s">
        <v>465</v>
      </c>
      <c r="J2158" s="2" t="s">
        <v>1588</v>
      </c>
      <c r="K2158" s="2" t="s">
        <v>1506</v>
      </c>
      <c r="L2158" s="3">
        <v>0.53333333333333333</v>
      </c>
      <c r="M2158" s="2" t="s">
        <v>1589</v>
      </c>
      <c r="N2158" s="2" t="s">
        <v>500</v>
      </c>
      <c r="O2158" s="2"/>
    </row>
    <row r="2159" spans="1:15" x14ac:dyDescent="0.25">
      <c r="A2159" s="2" t="s">
        <v>15</v>
      </c>
      <c r="B2159" s="2" t="str">
        <f>"FES1162770292"</f>
        <v>FES1162770292</v>
      </c>
      <c r="C2159" s="2" t="s">
        <v>1353</v>
      </c>
      <c r="D2159" s="2">
        <v>1</v>
      </c>
      <c r="E2159" s="2" t="str">
        <f>"2170757566"</f>
        <v>2170757566</v>
      </c>
      <c r="F2159" s="2" t="s">
        <v>17</v>
      </c>
      <c r="G2159" s="2" t="s">
        <v>18</v>
      </c>
      <c r="H2159" s="2" t="s">
        <v>18</v>
      </c>
      <c r="I2159" s="2" t="s">
        <v>46</v>
      </c>
      <c r="J2159" s="2" t="s">
        <v>59</v>
      </c>
      <c r="K2159" s="2" t="s">
        <v>1506</v>
      </c>
      <c r="L2159" s="3">
        <v>0.41666666666666669</v>
      </c>
      <c r="M2159" s="2" t="s">
        <v>1590</v>
      </c>
      <c r="N2159" s="2" t="s">
        <v>500</v>
      </c>
      <c r="O2159" s="2"/>
    </row>
    <row r="2160" spans="1:15" x14ac:dyDescent="0.25">
      <c r="A2160" s="2" t="s">
        <v>15</v>
      </c>
      <c r="B2160" s="2" t="str">
        <f>"FES1162770299"</f>
        <v>FES1162770299</v>
      </c>
      <c r="C2160" s="2" t="s">
        <v>1353</v>
      </c>
      <c r="D2160" s="2">
        <v>1</v>
      </c>
      <c r="E2160" s="2" t="str">
        <f>"2170757574"</f>
        <v>2170757574</v>
      </c>
      <c r="F2160" s="2" t="s">
        <v>17</v>
      </c>
      <c r="G2160" s="2" t="s">
        <v>18</v>
      </c>
      <c r="H2160" s="2" t="s">
        <v>25</v>
      </c>
      <c r="I2160" s="2" t="s">
        <v>42</v>
      </c>
      <c r="J2160" s="2" t="s">
        <v>416</v>
      </c>
      <c r="K2160" s="2" t="s">
        <v>1506</v>
      </c>
      <c r="L2160" s="3">
        <v>0.50347222222222221</v>
      </c>
      <c r="M2160" s="2" t="s">
        <v>517</v>
      </c>
      <c r="N2160" s="2" t="s">
        <v>500</v>
      </c>
      <c r="O2160" s="2"/>
    </row>
    <row r="2161" spans="1:15" x14ac:dyDescent="0.25">
      <c r="A2161" s="2" t="s">
        <v>15</v>
      </c>
      <c r="B2161" s="2" t="str">
        <f>"FES1162769899"</f>
        <v>FES1162769899</v>
      </c>
      <c r="C2161" s="2" t="s">
        <v>1353</v>
      </c>
      <c r="D2161" s="2">
        <v>3</v>
      </c>
      <c r="E2161" s="2" t="str">
        <f>"2170757204"</f>
        <v>2170757204</v>
      </c>
      <c r="F2161" s="2" t="s">
        <v>205</v>
      </c>
      <c r="G2161" s="2" t="s">
        <v>206</v>
      </c>
      <c r="H2161" s="2" t="s">
        <v>19</v>
      </c>
      <c r="I2161" s="2" t="s">
        <v>114</v>
      </c>
      <c r="J2161" s="2" t="s">
        <v>66</v>
      </c>
      <c r="K2161" s="2" t="s">
        <v>1506</v>
      </c>
      <c r="L2161" s="3">
        <v>0.4375</v>
      </c>
      <c r="M2161" s="2" t="s">
        <v>1507</v>
      </c>
      <c r="N2161" s="2" t="s">
        <v>500</v>
      </c>
      <c r="O2161" s="2"/>
    </row>
    <row r="2162" spans="1:15" x14ac:dyDescent="0.25">
      <c r="A2162" s="2" t="s">
        <v>15</v>
      </c>
      <c r="B2162" s="2" t="str">
        <f>"FES1162770257"</f>
        <v>FES1162770257</v>
      </c>
      <c r="C2162" s="2" t="s">
        <v>1353</v>
      </c>
      <c r="D2162" s="2">
        <v>1</v>
      </c>
      <c r="E2162" s="2" t="str">
        <f>"2170755894"</f>
        <v>2170755894</v>
      </c>
      <c r="F2162" s="2" t="s">
        <v>17</v>
      </c>
      <c r="G2162" s="2" t="s">
        <v>18</v>
      </c>
      <c r="H2162" s="2" t="s">
        <v>36</v>
      </c>
      <c r="I2162" s="2" t="s">
        <v>134</v>
      </c>
      <c r="J2162" s="2" t="s">
        <v>135</v>
      </c>
      <c r="K2162" s="2" t="s">
        <v>1506</v>
      </c>
      <c r="L2162" s="3">
        <v>0.41666666666666669</v>
      </c>
      <c r="M2162" s="2" t="s">
        <v>1591</v>
      </c>
      <c r="N2162" s="2" t="s">
        <v>500</v>
      </c>
      <c r="O2162" s="2"/>
    </row>
    <row r="2163" spans="1:15" x14ac:dyDescent="0.25">
      <c r="A2163" s="2" t="s">
        <v>15</v>
      </c>
      <c r="B2163" s="2" t="str">
        <f>"FES1162770240"</f>
        <v>FES1162770240</v>
      </c>
      <c r="C2163" s="2" t="s">
        <v>1353</v>
      </c>
      <c r="D2163" s="2">
        <v>1</v>
      </c>
      <c r="E2163" s="2" t="str">
        <f>"2170755894"</f>
        <v>2170755894</v>
      </c>
      <c r="F2163" s="2" t="s">
        <v>17</v>
      </c>
      <c r="G2163" s="2" t="s">
        <v>18</v>
      </c>
      <c r="H2163" s="2" t="s">
        <v>36</v>
      </c>
      <c r="I2163" s="2" t="s">
        <v>134</v>
      </c>
      <c r="J2163" s="2" t="s">
        <v>135</v>
      </c>
      <c r="K2163" s="2" t="s">
        <v>1506</v>
      </c>
      <c r="L2163" s="3">
        <v>0.51250000000000007</v>
      </c>
      <c r="M2163" s="2" t="s">
        <v>1591</v>
      </c>
      <c r="N2163" s="2" t="s">
        <v>500</v>
      </c>
      <c r="O2163" s="2"/>
    </row>
    <row r="2164" spans="1:15" x14ac:dyDescent="0.25">
      <c r="A2164" s="2" t="s">
        <v>15</v>
      </c>
      <c r="B2164" s="2" t="str">
        <f>"FES1162770296"</f>
        <v>FES1162770296</v>
      </c>
      <c r="C2164" s="2" t="s">
        <v>1353</v>
      </c>
      <c r="D2164" s="2">
        <v>1</v>
      </c>
      <c r="E2164" s="2" t="str">
        <f>"2170757570"</f>
        <v>2170757570</v>
      </c>
      <c r="F2164" s="2" t="s">
        <v>17</v>
      </c>
      <c r="G2164" s="2" t="s">
        <v>18</v>
      </c>
      <c r="H2164" s="2" t="s">
        <v>18</v>
      </c>
      <c r="I2164" s="2" t="s">
        <v>46</v>
      </c>
      <c r="J2164" s="2" t="s">
        <v>59</v>
      </c>
      <c r="K2164" s="2" t="s">
        <v>1506</v>
      </c>
      <c r="L2164" s="3">
        <v>0.41666666666666669</v>
      </c>
      <c r="M2164" s="2" t="s">
        <v>1592</v>
      </c>
      <c r="N2164" s="2" t="s">
        <v>500</v>
      </c>
      <c r="O2164" s="2"/>
    </row>
    <row r="2165" spans="1:15" x14ac:dyDescent="0.25">
      <c r="A2165" s="2" t="s">
        <v>15</v>
      </c>
      <c r="B2165" s="2" t="str">
        <f>"FES1162770286"</f>
        <v>FES1162770286</v>
      </c>
      <c r="C2165" s="2" t="s">
        <v>1353</v>
      </c>
      <c r="D2165" s="2">
        <v>1</v>
      </c>
      <c r="E2165" s="2" t="str">
        <f>"2170757557"</f>
        <v>2170757557</v>
      </c>
      <c r="F2165" s="2" t="s">
        <v>17</v>
      </c>
      <c r="G2165" s="2" t="s">
        <v>18</v>
      </c>
      <c r="H2165" s="2" t="s">
        <v>88</v>
      </c>
      <c r="I2165" s="2" t="s">
        <v>109</v>
      </c>
      <c r="J2165" s="2" t="s">
        <v>452</v>
      </c>
      <c r="K2165" s="2" t="s">
        <v>1506</v>
      </c>
      <c r="L2165" s="3">
        <v>0.42569444444444443</v>
      </c>
      <c r="M2165" s="2" t="s">
        <v>1593</v>
      </c>
      <c r="N2165" s="2" t="s">
        <v>500</v>
      </c>
      <c r="O2165" s="2"/>
    </row>
    <row r="2166" spans="1:15" x14ac:dyDescent="0.25">
      <c r="A2166" s="2" t="s">
        <v>15</v>
      </c>
      <c r="B2166" s="2" t="str">
        <f>"FES1162770256"</f>
        <v>FES1162770256</v>
      </c>
      <c r="C2166" s="2" t="s">
        <v>1353</v>
      </c>
      <c r="D2166" s="2">
        <v>1</v>
      </c>
      <c r="E2166" s="2" t="str">
        <f>"2170755944"</f>
        <v>2170755944</v>
      </c>
      <c r="F2166" s="2" t="s">
        <v>17</v>
      </c>
      <c r="G2166" s="2" t="s">
        <v>18</v>
      </c>
      <c r="H2166" s="2" t="s">
        <v>36</v>
      </c>
      <c r="I2166" s="2" t="s">
        <v>37</v>
      </c>
      <c r="J2166" s="2" t="s">
        <v>378</v>
      </c>
      <c r="K2166" s="2" t="s">
        <v>1506</v>
      </c>
      <c r="L2166" s="3">
        <v>0.4236111111111111</v>
      </c>
      <c r="M2166" s="2" t="s">
        <v>408</v>
      </c>
      <c r="N2166" s="2" t="s">
        <v>500</v>
      </c>
      <c r="O2166" s="2"/>
    </row>
    <row r="2167" spans="1:15" x14ac:dyDescent="0.25">
      <c r="A2167" s="2" t="s">
        <v>15</v>
      </c>
      <c r="B2167" s="2" t="str">
        <f>"FES1162770260"</f>
        <v>FES1162770260</v>
      </c>
      <c r="C2167" s="2" t="s">
        <v>1353</v>
      </c>
      <c r="D2167" s="2">
        <v>1</v>
      </c>
      <c r="E2167" s="2" t="str">
        <f>"2170756725"</f>
        <v>2170756725</v>
      </c>
      <c r="F2167" s="2" t="s">
        <v>17</v>
      </c>
      <c r="G2167" s="2" t="s">
        <v>18</v>
      </c>
      <c r="H2167" s="2" t="s">
        <v>36</v>
      </c>
      <c r="I2167" s="2" t="s">
        <v>37</v>
      </c>
      <c r="J2167" s="2" t="s">
        <v>476</v>
      </c>
      <c r="K2167" s="2" t="s">
        <v>1506</v>
      </c>
      <c r="L2167" s="3">
        <v>0.53472222222222221</v>
      </c>
      <c r="M2167" s="2" t="s">
        <v>1594</v>
      </c>
      <c r="N2167" s="2" t="s">
        <v>500</v>
      </c>
      <c r="O2167" s="2"/>
    </row>
    <row r="2168" spans="1:15" x14ac:dyDescent="0.25">
      <c r="A2168" s="2" t="s">
        <v>15</v>
      </c>
      <c r="B2168" s="2" t="str">
        <f>"FES1162769654"</f>
        <v>FES1162769654</v>
      </c>
      <c r="C2168" s="2" t="s">
        <v>1353</v>
      </c>
      <c r="D2168" s="2">
        <v>1</v>
      </c>
      <c r="E2168" s="2" t="str">
        <f>"2170756746"</f>
        <v>2170756746</v>
      </c>
      <c r="F2168" s="2" t="s">
        <v>17</v>
      </c>
      <c r="G2168" s="2" t="s">
        <v>18</v>
      </c>
      <c r="H2168" s="2" t="s">
        <v>18</v>
      </c>
      <c r="I2168" s="2" t="s">
        <v>50</v>
      </c>
      <c r="J2168" s="2" t="s">
        <v>1595</v>
      </c>
      <c r="K2168" s="2" t="s">
        <v>1506</v>
      </c>
      <c r="L2168" s="3">
        <v>0.43055555555555558</v>
      </c>
      <c r="M2168" s="2" t="s">
        <v>1596</v>
      </c>
      <c r="N2168" s="2" t="s">
        <v>500</v>
      </c>
      <c r="O2168" s="2"/>
    </row>
    <row r="2169" spans="1:15" x14ac:dyDescent="0.25">
      <c r="A2169" s="2" t="s">
        <v>15</v>
      </c>
      <c r="B2169" s="2" t="str">
        <f>"FES1162770274"</f>
        <v>FES1162770274</v>
      </c>
      <c r="C2169" s="2" t="s">
        <v>1353</v>
      </c>
      <c r="D2169" s="2">
        <v>1</v>
      </c>
      <c r="E2169" s="2" t="str">
        <f>"2170756020"</f>
        <v>2170756020</v>
      </c>
      <c r="F2169" s="2" t="s">
        <v>17</v>
      </c>
      <c r="G2169" s="2" t="s">
        <v>18</v>
      </c>
      <c r="H2169" s="2" t="s">
        <v>36</v>
      </c>
      <c r="I2169" s="2" t="s">
        <v>37</v>
      </c>
      <c r="J2169" s="2" t="s">
        <v>1597</v>
      </c>
      <c r="K2169" s="2" t="s">
        <v>1506</v>
      </c>
      <c r="L2169" s="3">
        <v>0.35416666666666669</v>
      </c>
      <c r="M2169" s="2" t="s">
        <v>179</v>
      </c>
      <c r="N2169" s="2" t="s">
        <v>500</v>
      </c>
      <c r="O2169" s="2"/>
    </row>
    <row r="2170" spans="1:15" x14ac:dyDescent="0.25">
      <c r="A2170" s="2" t="s">
        <v>15</v>
      </c>
      <c r="B2170" s="2" t="str">
        <f>"FES1162770249"</f>
        <v>FES1162770249</v>
      </c>
      <c r="C2170" s="2" t="s">
        <v>1353</v>
      </c>
      <c r="D2170" s="2">
        <v>1</v>
      </c>
      <c r="E2170" s="2" t="str">
        <f>"2170757489"</f>
        <v>2170757489</v>
      </c>
      <c r="F2170" s="2" t="s">
        <v>17</v>
      </c>
      <c r="G2170" s="2" t="s">
        <v>18</v>
      </c>
      <c r="H2170" s="2" t="s">
        <v>19</v>
      </c>
      <c r="I2170" s="2" t="s">
        <v>73</v>
      </c>
      <c r="J2170" s="2" t="s">
        <v>76</v>
      </c>
      <c r="K2170" s="2" t="s">
        <v>1506</v>
      </c>
      <c r="L2170" s="3">
        <v>0.39583333333333331</v>
      </c>
      <c r="M2170" s="2" t="s">
        <v>235</v>
      </c>
      <c r="N2170" s="2" t="s">
        <v>500</v>
      </c>
      <c r="O2170" s="2"/>
    </row>
    <row r="2171" spans="1:15" x14ac:dyDescent="0.25">
      <c r="A2171" s="2" t="s">
        <v>15</v>
      </c>
      <c r="B2171" s="2" t="str">
        <f>"FES1162769461"</f>
        <v>FES1162769461</v>
      </c>
      <c r="C2171" s="2" t="s">
        <v>1353</v>
      </c>
      <c r="D2171" s="2">
        <v>1</v>
      </c>
      <c r="E2171" s="2" t="str">
        <f>"2170753263"</f>
        <v>2170753263</v>
      </c>
      <c r="F2171" s="2" t="s">
        <v>17</v>
      </c>
      <c r="G2171" s="2" t="s">
        <v>18</v>
      </c>
      <c r="H2171" s="2" t="s">
        <v>18</v>
      </c>
      <c r="I2171" s="2" t="s">
        <v>50</v>
      </c>
      <c r="J2171" s="2" t="s">
        <v>1598</v>
      </c>
      <c r="K2171" s="2" t="s">
        <v>1506</v>
      </c>
      <c r="L2171" s="3">
        <v>0.43194444444444446</v>
      </c>
      <c r="M2171" s="2" t="s">
        <v>1599</v>
      </c>
      <c r="N2171" s="2" t="s">
        <v>500</v>
      </c>
      <c r="O2171" s="2"/>
    </row>
    <row r="2172" spans="1:15" x14ac:dyDescent="0.25">
      <c r="A2172" s="2" t="s">
        <v>15</v>
      </c>
      <c r="B2172" s="2" t="str">
        <f>"FES1162769529"</f>
        <v>FES1162769529</v>
      </c>
      <c r="C2172" s="2" t="s">
        <v>1353</v>
      </c>
      <c r="D2172" s="2">
        <v>1</v>
      </c>
      <c r="E2172" s="2" t="str">
        <f>"2170755792"</f>
        <v>2170755792</v>
      </c>
      <c r="F2172" s="2" t="s">
        <v>17</v>
      </c>
      <c r="G2172" s="2" t="s">
        <v>18</v>
      </c>
      <c r="H2172" s="2" t="s">
        <v>18</v>
      </c>
      <c r="I2172" s="2" t="s">
        <v>290</v>
      </c>
      <c r="J2172" s="2" t="s">
        <v>1294</v>
      </c>
      <c r="K2172" s="2" t="s">
        <v>1506</v>
      </c>
      <c r="L2172" s="3">
        <v>0.41319444444444442</v>
      </c>
      <c r="M2172" s="2" t="s">
        <v>176</v>
      </c>
      <c r="N2172" s="2" t="s">
        <v>500</v>
      </c>
      <c r="O2172" s="2"/>
    </row>
    <row r="2173" spans="1:15" x14ac:dyDescent="0.25">
      <c r="A2173" s="2" t="s">
        <v>15</v>
      </c>
      <c r="B2173" s="2" t="str">
        <f>"FES1162770275"</f>
        <v>FES1162770275</v>
      </c>
      <c r="C2173" s="2" t="s">
        <v>1353</v>
      </c>
      <c r="D2173" s="2">
        <v>1</v>
      </c>
      <c r="E2173" s="2" t="str">
        <f>"2170756390"</f>
        <v>2170756390</v>
      </c>
      <c r="F2173" s="2" t="s">
        <v>17</v>
      </c>
      <c r="G2173" s="2" t="s">
        <v>18</v>
      </c>
      <c r="H2173" s="2" t="s">
        <v>25</v>
      </c>
      <c r="I2173" s="2" t="s">
        <v>26</v>
      </c>
      <c r="J2173" s="2" t="s">
        <v>27</v>
      </c>
      <c r="K2173" s="2" t="s">
        <v>1506</v>
      </c>
      <c r="L2173" s="3">
        <v>0.41666666666666669</v>
      </c>
      <c r="M2173" s="2" t="s">
        <v>1600</v>
      </c>
      <c r="N2173" s="2" t="s">
        <v>500</v>
      </c>
      <c r="O2173" s="2"/>
    </row>
    <row r="2174" spans="1:15" x14ac:dyDescent="0.25">
      <c r="A2174" s="2" t="s">
        <v>15</v>
      </c>
      <c r="B2174" s="2" t="str">
        <f>"FES1162770302"</f>
        <v>FES1162770302</v>
      </c>
      <c r="C2174" s="2" t="s">
        <v>1353</v>
      </c>
      <c r="D2174" s="2">
        <v>2</v>
      </c>
      <c r="E2174" s="2" t="str">
        <f>"2170755261"</f>
        <v>2170755261</v>
      </c>
      <c r="F2174" s="2" t="s">
        <v>17</v>
      </c>
      <c r="G2174" s="2" t="s">
        <v>18</v>
      </c>
      <c r="H2174" s="2" t="s">
        <v>25</v>
      </c>
      <c r="I2174" s="2" t="s">
        <v>125</v>
      </c>
      <c r="J2174" s="2" t="s">
        <v>126</v>
      </c>
      <c r="K2174" s="2" t="s">
        <v>1506</v>
      </c>
      <c r="L2174" s="3">
        <v>0.41666666666666669</v>
      </c>
      <c r="M2174" s="2" t="s">
        <v>1189</v>
      </c>
      <c r="N2174" s="2" t="s">
        <v>500</v>
      </c>
      <c r="O2174" s="2"/>
    </row>
    <row r="2175" spans="1:15" x14ac:dyDescent="0.25">
      <c r="A2175" s="2" t="s">
        <v>15</v>
      </c>
      <c r="B2175" s="2" t="str">
        <f>"FES1162769494"</f>
        <v>FES1162769494</v>
      </c>
      <c r="C2175" s="2" t="s">
        <v>1353</v>
      </c>
      <c r="D2175" s="2">
        <v>1</v>
      </c>
      <c r="E2175" s="2" t="str">
        <f>"2170754948"</f>
        <v>2170754948</v>
      </c>
      <c r="F2175" s="2" t="s">
        <v>17</v>
      </c>
      <c r="G2175" s="2" t="s">
        <v>18</v>
      </c>
      <c r="H2175" s="2" t="s">
        <v>88</v>
      </c>
      <c r="I2175" s="2" t="s">
        <v>109</v>
      </c>
      <c r="J2175" s="2" t="s">
        <v>636</v>
      </c>
      <c r="K2175" s="2" t="s">
        <v>1506</v>
      </c>
      <c r="L2175" s="3">
        <v>0.54236111111111118</v>
      </c>
      <c r="M2175" s="2" t="s">
        <v>1601</v>
      </c>
      <c r="N2175" s="2" t="s">
        <v>500</v>
      </c>
      <c r="O2175" s="2"/>
    </row>
    <row r="2176" spans="1:15" x14ac:dyDescent="0.25">
      <c r="A2176" s="2" t="s">
        <v>15</v>
      </c>
      <c r="B2176" s="2" t="str">
        <f>"FES1162769422"</f>
        <v>FES1162769422</v>
      </c>
      <c r="C2176" s="2" t="s">
        <v>1353</v>
      </c>
      <c r="D2176" s="2">
        <v>1</v>
      </c>
      <c r="E2176" s="2" t="str">
        <f>"2170754105"</f>
        <v>2170754105</v>
      </c>
      <c r="F2176" s="2" t="s">
        <v>17</v>
      </c>
      <c r="G2176" s="2" t="s">
        <v>18</v>
      </c>
      <c r="H2176" s="2" t="s">
        <v>88</v>
      </c>
      <c r="I2176" s="2" t="s">
        <v>437</v>
      </c>
      <c r="J2176" s="2" t="s">
        <v>867</v>
      </c>
      <c r="K2176" s="2" t="s">
        <v>1506</v>
      </c>
      <c r="L2176" s="3">
        <v>0.375</v>
      </c>
      <c r="M2176" s="2" t="s">
        <v>685</v>
      </c>
      <c r="N2176" s="2" t="s">
        <v>500</v>
      </c>
      <c r="O2176" s="2"/>
    </row>
    <row r="2177" spans="1:15" x14ac:dyDescent="0.25">
      <c r="A2177" s="2" t="s">
        <v>15</v>
      </c>
      <c r="B2177" s="2" t="str">
        <f>"FES1162770329"</f>
        <v>FES1162770329</v>
      </c>
      <c r="C2177" s="2" t="s">
        <v>1353</v>
      </c>
      <c r="D2177" s="2">
        <v>1</v>
      </c>
      <c r="E2177" s="2" t="str">
        <f>"2170757612"</f>
        <v>2170757612</v>
      </c>
      <c r="F2177" s="2" t="s">
        <v>17</v>
      </c>
      <c r="G2177" s="2" t="s">
        <v>18</v>
      </c>
      <c r="H2177" s="2" t="s">
        <v>30</v>
      </c>
      <c r="I2177" s="2" t="s">
        <v>444</v>
      </c>
      <c r="J2177" s="2" t="s">
        <v>488</v>
      </c>
      <c r="K2177" s="2" t="s">
        <v>1506</v>
      </c>
      <c r="L2177" s="3">
        <v>0.50555555555555554</v>
      </c>
      <c r="M2177" s="2" t="s">
        <v>1602</v>
      </c>
      <c r="N2177" s="2" t="s">
        <v>500</v>
      </c>
      <c r="O2177" s="2"/>
    </row>
    <row r="2178" spans="1:15" x14ac:dyDescent="0.25">
      <c r="A2178" s="2" t="s">
        <v>15</v>
      </c>
      <c r="B2178" s="2" t="str">
        <f>"FES1162770309"</f>
        <v>FES1162770309</v>
      </c>
      <c r="C2178" s="2" t="s">
        <v>1353</v>
      </c>
      <c r="D2178" s="2">
        <v>2</v>
      </c>
      <c r="E2178" s="2" t="str">
        <f>"2170757584"</f>
        <v>2170757584</v>
      </c>
      <c r="F2178" s="2" t="s">
        <v>17</v>
      </c>
      <c r="G2178" s="2" t="s">
        <v>18</v>
      </c>
      <c r="H2178" s="2" t="s">
        <v>19</v>
      </c>
      <c r="I2178" s="2" t="s">
        <v>111</v>
      </c>
      <c r="J2178" s="2" t="s">
        <v>143</v>
      </c>
      <c r="K2178" s="2" t="s">
        <v>1506</v>
      </c>
      <c r="L2178" s="3">
        <v>0.3263888888888889</v>
      </c>
      <c r="M2178" s="2" t="s">
        <v>1603</v>
      </c>
      <c r="N2178" s="2" t="s">
        <v>500</v>
      </c>
      <c r="O2178" s="2"/>
    </row>
    <row r="2179" spans="1:15" x14ac:dyDescent="0.25">
      <c r="A2179" s="2" t="s">
        <v>15</v>
      </c>
      <c r="B2179" s="2" t="str">
        <f>"FES1162770327"</f>
        <v>FES1162770327</v>
      </c>
      <c r="C2179" s="2" t="s">
        <v>1353</v>
      </c>
      <c r="D2179" s="2">
        <v>1</v>
      </c>
      <c r="E2179" s="2" t="str">
        <f>"2170757610"</f>
        <v>2170757610</v>
      </c>
      <c r="F2179" s="2" t="s">
        <v>17</v>
      </c>
      <c r="G2179" s="2" t="s">
        <v>18</v>
      </c>
      <c r="H2179" s="2" t="s">
        <v>25</v>
      </c>
      <c r="I2179" s="2" t="s">
        <v>125</v>
      </c>
      <c r="J2179" s="2" t="s">
        <v>126</v>
      </c>
      <c r="K2179" s="2" t="s">
        <v>1506</v>
      </c>
      <c r="L2179" s="3">
        <v>0.41666666666666669</v>
      </c>
      <c r="M2179" s="2" t="s">
        <v>1189</v>
      </c>
      <c r="N2179" s="2" t="s">
        <v>500</v>
      </c>
      <c r="O2179" s="2"/>
    </row>
    <row r="2180" spans="1:15" x14ac:dyDescent="0.25">
      <c r="A2180" s="2" t="s">
        <v>15</v>
      </c>
      <c r="B2180" s="2" t="str">
        <f>"FES1162770340"</f>
        <v>FES1162770340</v>
      </c>
      <c r="C2180" s="2" t="s">
        <v>1353</v>
      </c>
      <c r="D2180" s="2">
        <v>1</v>
      </c>
      <c r="E2180" s="2" t="str">
        <f>"2170757623"</f>
        <v>2170757623</v>
      </c>
      <c r="F2180" s="2" t="s">
        <v>17</v>
      </c>
      <c r="G2180" s="2" t="s">
        <v>18</v>
      </c>
      <c r="H2180" s="2" t="s">
        <v>36</v>
      </c>
      <c r="I2180" s="2" t="s">
        <v>67</v>
      </c>
      <c r="J2180" s="2" t="s">
        <v>68</v>
      </c>
      <c r="K2180" s="2" t="s">
        <v>1506</v>
      </c>
      <c r="L2180" s="3">
        <v>0.38194444444444442</v>
      </c>
      <c r="M2180" s="2" t="s">
        <v>1604</v>
      </c>
      <c r="N2180" s="2" t="s">
        <v>500</v>
      </c>
      <c r="O2180" s="2"/>
    </row>
    <row r="2181" spans="1:15" x14ac:dyDescent="0.25">
      <c r="A2181" s="2" t="s">
        <v>15</v>
      </c>
      <c r="B2181" s="2" t="str">
        <f>"FES1162770326"</f>
        <v>FES1162770326</v>
      </c>
      <c r="C2181" s="2" t="s">
        <v>1353</v>
      </c>
      <c r="D2181" s="2">
        <v>1</v>
      </c>
      <c r="E2181" s="2" t="str">
        <f>"2170757609"</f>
        <v>2170757609</v>
      </c>
      <c r="F2181" s="2" t="s">
        <v>17</v>
      </c>
      <c r="G2181" s="2" t="s">
        <v>18</v>
      </c>
      <c r="H2181" s="2" t="s">
        <v>25</v>
      </c>
      <c r="I2181" s="2" t="s">
        <v>61</v>
      </c>
      <c r="J2181" s="2" t="s">
        <v>62</v>
      </c>
      <c r="K2181" s="2" t="s">
        <v>1513</v>
      </c>
      <c r="L2181" s="3">
        <v>0.34930555555555554</v>
      </c>
      <c r="M2181" s="2" t="s">
        <v>265</v>
      </c>
      <c r="N2181" s="2" t="s">
        <v>500</v>
      </c>
      <c r="O2181" s="2"/>
    </row>
    <row r="2182" spans="1:15" x14ac:dyDescent="0.25">
      <c r="A2182" s="2" t="s">
        <v>15</v>
      </c>
      <c r="B2182" s="2" t="str">
        <f>"FES1162770332"</f>
        <v>FES1162770332</v>
      </c>
      <c r="C2182" s="2" t="s">
        <v>1353</v>
      </c>
      <c r="D2182" s="2">
        <v>1</v>
      </c>
      <c r="E2182" s="2" t="str">
        <f>"2170757423"</f>
        <v>2170757423</v>
      </c>
      <c r="F2182" s="2" t="s">
        <v>17</v>
      </c>
      <c r="G2182" s="2" t="s">
        <v>18</v>
      </c>
      <c r="H2182" s="2" t="s">
        <v>25</v>
      </c>
      <c r="I2182" s="2" t="s">
        <v>26</v>
      </c>
      <c r="J2182" s="2" t="s">
        <v>27</v>
      </c>
      <c r="K2182" s="2" t="s">
        <v>1506</v>
      </c>
      <c r="L2182" s="3">
        <v>0.41666666666666669</v>
      </c>
      <c r="M2182" s="2" t="s">
        <v>1605</v>
      </c>
      <c r="N2182" s="2" t="s">
        <v>500</v>
      </c>
      <c r="O2182" s="2"/>
    </row>
    <row r="2183" spans="1:15" x14ac:dyDescent="0.25">
      <c r="A2183" s="2" t="s">
        <v>15</v>
      </c>
      <c r="B2183" s="2" t="str">
        <f>"FES1162770285"</f>
        <v>FES1162770285</v>
      </c>
      <c r="C2183" s="2" t="s">
        <v>1353</v>
      </c>
      <c r="D2183" s="2">
        <v>1</v>
      </c>
      <c r="E2183" s="2" t="str">
        <f>"2170757556"</f>
        <v>2170757556</v>
      </c>
      <c r="F2183" s="2" t="s">
        <v>17</v>
      </c>
      <c r="G2183" s="2" t="s">
        <v>18</v>
      </c>
      <c r="H2183" s="2" t="s">
        <v>36</v>
      </c>
      <c r="I2183" s="2" t="s">
        <v>67</v>
      </c>
      <c r="J2183" s="2" t="s">
        <v>312</v>
      </c>
      <c r="K2183" s="2" t="s">
        <v>1506</v>
      </c>
      <c r="L2183" s="3">
        <v>0.375</v>
      </c>
      <c r="M2183" s="2" t="s">
        <v>1606</v>
      </c>
      <c r="N2183" s="2" t="s">
        <v>500</v>
      </c>
      <c r="O2183" s="2"/>
    </row>
    <row r="2184" spans="1:15" x14ac:dyDescent="0.25">
      <c r="A2184" s="2" t="s">
        <v>15</v>
      </c>
      <c r="B2184" s="2" t="str">
        <f>"FES1162770272"</f>
        <v>FES1162770272</v>
      </c>
      <c r="C2184" s="2" t="s">
        <v>1353</v>
      </c>
      <c r="D2184" s="2">
        <v>1</v>
      </c>
      <c r="E2184" s="2" t="str">
        <f>"2170754296"</f>
        <v>2170754296</v>
      </c>
      <c r="F2184" s="2" t="s">
        <v>17</v>
      </c>
      <c r="G2184" s="2" t="s">
        <v>18</v>
      </c>
      <c r="H2184" s="2" t="s">
        <v>33</v>
      </c>
      <c r="I2184" s="2" t="s">
        <v>34</v>
      </c>
      <c r="J2184" s="2" t="s">
        <v>371</v>
      </c>
      <c r="K2184" s="2" t="s">
        <v>1506</v>
      </c>
      <c r="L2184" s="3">
        <v>0.43333333333333335</v>
      </c>
      <c r="M2184" s="2" t="s">
        <v>1607</v>
      </c>
      <c r="N2184" s="2" t="s">
        <v>500</v>
      </c>
      <c r="O2184" s="2"/>
    </row>
    <row r="2185" spans="1:15" x14ac:dyDescent="0.25">
      <c r="A2185" s="2" t="s">
        <v>15</v>
      </c>
      <c r="B2185" s="2" t="str">
        <f>"FES1162770316"</f>
        <v>FES1162770316</v>
      </c>
      <c r="C2185" s="2" t="s">
        <v>1353</v>
      </c>
      <c r="D2185" s="2">
        <v>1</v>
      </c>
      <c r="E2185" s="2" t="str">
        <f>"2170755826"</f>
        <v>2170755826</v>
      </c>
      <c r="F2185" s="2" t="s">
        <v>17</v>
      </c>
      <c r="G2185" s="2" t="s">
        <v>18</v>
      </c>
      <c r="H2185" s="2" t="s">
        <v>18</v>
      </c>
      <c r="I2185" s="2" t="s">
        <v>97</v>
      </c>
      <c r="J2185" s="2" t="s">
        <v>98</v>
      </c>
      <c r="K2185" s="2" t="s">
        <v>1506</v>
      </c>
      <c r="L2185" s="3">
        <v>0.43055555555555558</v>
      </c>
      <c r="M2185" s="2" t="s">
        <v>1608</v>
      </c>
      <c r="N2185" s="2" t="s">
        <v>500</v>
      </c>
      <c r="O2185" s="2"/>
    </row>
    <row r="2186" spans="1:15" x14ac:dyDescent="0.25">
      <c r="A2186" s="2" t="s">
        <v>15</v>
      </c>
      <c r="B2186" s="2" t="str">
        <f>"FES1162770305"</f>
        <v>FES1162770305</v>
      </c>
      <c r="C2186" s="2" t="s">
        <v>1353</v>
      </c>
      <c r="D2186" s="2">
        <v>1</v>
      </c>
      <c r="E2186" s="2" t="str">
        <f>"2170755328"</f>
        <v>2170755328</v>
      </c>
      <c r="F2186" s="2" t="s">
        <v>17</v>
      </c>
      <c r="G2186" s="2" t="s">
        <v>18</v>
      </c>
      <c r="H2186" s="2" t="s">
        <v>484</v>
      </c>
      <c r="I2186" s="2" t="s">
        <v>485</v>
      </c>
      <c r="J2186" s="2" t="s">
        <v>653</v>
      </c>
      <c r="K2186" s="2" t="s">
        <v>1506</v>
      </c>
      <c r="L2186" s="3">
        <v>0.39027777777777778</v>
      </c>
      <c r="M2186" s="2" t="s">
        <v>1609</v>
      </c>
      <c r="N2186" s="2" t="s">
        <v>500</v>
      </c>
      <c r="O2186" s="2"/>
    </row>
    <row r="2187" spans="1:15" x14ac:dyDescent="0.25">
      <c r="A2187" s="2" t="s">
        <v>15</v>
      </c>
      <c r="B2187" s="2" t="str">
        <f>"FES1162770269"</f>
        <v>FES1162770269</v>
      </c>
      <c r="C2187" s="2" t="s">
        <v>1353</v>
      </c>
      <c r="D2187" s="2">
        <v>1</v>
      </c>
      <c r="E2187" s="2" t="str">
        <f>"2170752759"</f>
        <v>2170752759</v>
      </c>
      <c r="F2187" s="2" t="s">
        <v>17</v>
      </c>
      <c r="G2187" s="2" t="s">
        <v>18</v>
      </c>
      <c r="H2187" s="2" t="s">
        <v>36</v>
      </c>
      <c r="I2187" s="2" t="s">
        <v>67</v>
      </c>
      <c r="J2187" s="2" t="s">
        <v>145</v>
      </c>
      <c r="K2187" s="2" t="s">
        <v>1506</v>
      </c>
      <c r="L2187" s="3">
        <v>0.375</v>
      </c>
      <c r="M2187" s="2" t="s">
        <v>1606</v>
      </c>
      <c r="N2187" s="2" t="s">
        <v>500</v>
      </c>
      <c r="O2187" s="2"/>
    </row>
    <row r="2188" spans="1:15" x14ac:dyDescent="0.25">
      <c r="A2188" s="2" t="s">
        <v>15</v>
      </c>
      <c r="B2188" s="2" t="str">
        <f>"FES1162770310"</f>
        <v>FES1162770310</v>
      </c>
      <c r="C2188" s="2" t="s">
        <v>1353</v>
      </c>
      <c r="D2188" s="2">
        <v>1</v>
      </c>
      <c r="E2188" s="2" t="str">
        <f>"2170757587"</f>
        <v>2170757587</v>
      </c>
      <c r="F2188" s="2" t="s">
        <v>17</v>
      </c>
      <c r="G2188" s="2" t="s">
        <v>18</v>
      </c>
      <c r="H2188" s="2" t="s">
        <v>36</v>
      </c>
      <c r="I2188" s="2" t="s">
        <v>37</v>
      </c>
      <c r="J2188" s="2" t="s">
        <v>378</v>
      </c>
      <c r="K2188" s="2" t="s">
        <v>1506</v>
      </c>
      <c r="L2188" s="3">
        <v>0.4236111111111111</v>
      </c>
      <c r="M2188" s="2" t="s">
        <v>408</v>
      </c>
      <c r="N2188" s="2" t="s">
        <v>500</v>
      </c>
      <c r="O2188" s="2"/>
    </row>
    <row r="2189" spans="1:15" x14ac:dyDescent="0.25">
      <c r="A2189" s="2" t="s">
        <v>15</v>
      </c>
      <c r="B2189" s="2" t="str">
        <f>"FES1162770270"</f>
        <v>FES1162770270</v>
      </c>
      <c r="C2189" s="2" t="s">
        <v>1353</v>
      </c>
      <c r="D2189" s="2">
        <v>1</v>
      </c>
      <c r="E2189" s="2" t="str">
        <f>"2170752801"</f>
        <v>2170752801</v>
      </c>
      <c r="F2189" s="2" t="s">
        <v>17</v>
      </c>
      <c r="G2189" s="2" t="s">
        <v>18</v>
      </c>
      <c r="H2189" s="2" t="s">
        <v>36</v>
      </c>
      <c r="I2189" s="2" t="s">
        <v>37</v>
      </c>
      <c r="J2189" s="2" t="s">
        <v>162</v>
      </c>
      <c r="K2189" s="2" t="s">
        <v>1506</v>
      </c>
      <c r="L2189" s="3">
        <v>0.34166666666666662</v>
      </c>
      <c r="M2189" s="2" t="s">
        <v>1066</v>
      </c>
      <c r="N2189" s="2" t="s">
        <v>500</v>
      </c>
      <c r="O2189" s="2"/>
    </row>
    <row r="2190" spans="1:15" x14ac:dyDescent="0.25">
      <c r="A2190" s="2" t="s">
        <v>15</v>
      </c>
      <c r="B2190" s="2" t="str">
        <f>"FES1162770268"</f>
        <v>FES1162770268</v>
      </c>
      <c r="C2190" s="2" t="s">
        <v>1353</v>
      </c>
      <c r="D2190" s="2">
        <v>1</v>
      </c>
      <c r="E2190" s="2" t="str">
        <f>"2170751478"</f>
        <v>2170751478</v>
      </c>
      <c r="F2190" s="2" t="s">
        <v>17</v>
      </c>
      <c r="G2190" s="2" t="s">
        <v>18</v>
      </c>
      <c r="H2190" s="2" t="s">
        <v>36</v>
      </c>
      <c r="I2190" s="2" t="s">
        <v>37</v>
      </c>
      <c r="J2190" s="2" t="s">
        <v>162</v>
      </c>
      <c r="K2190" s="2" t="s">
        <v>1506</v>
      </c>
      <c r="L2190" s="3">
        <v>0.33333333333333331</v>
      </c>
      <c r="M2190" s="2" t="s">
        <v>1099</v>
      </c>
      <c r="N2190" s="2" t="s">
        <v>500</v>
      </c>
      <c r="O2190" s="2"/>
    </row>
    <row r="2191" spans="1:15" x14ac:dyDescent="0.25">
      <c r="A2191" s="2" t="s">
        <v>15</v>
      </c>
      <c r="B2191" s="2" t="str">
        <f>"FES1162770277"</f>
        <v>FES1162770277</v>
      </c>
      <c r="C2191" s="2" t="s">
        <v>1353</v>
      </c>
      <c r="D2191" s="2">
        <v>1</v>
      </c>
      <c r="E2191" s="2" t="str">
        <f>"2170756678"</f>
        <v>2170756678</v>
      </c>
      <c r="F2191" s="2" t="s">
        <v>17</v>
      </c>
      <c r="G2191" s="2" t="s">
        <v>18</v>
      </c>
      <c r="H2191" s="2" t="s">
        <v>33</v>
      </c>
      <c r="I2191" s="2" t="s">
        <v>34</v>
      </c>
      <c r="J2191" s="2" t="s">
        <v>317</v>
      </c>
      <c r="K2191" s="2" t="s">
        <v>1506</v>
      </c>
      <c r="L2191" s="3">
        <v>0.43333333333333335</v>
      </c>
      <c r="M2191" s="2" t="s">
        <v>1610</v>
      </c>
      <c r="N2191" s="2" t="s">
        <v>500</v>
      </c>
      <c r="O2191" s="2"/>
    </row>
    <row r="2192" spans="1:15" x14ac:dyDescent="0.25">
      <c r="A2192" s="2" t="s">
        <v>15</v>
      </c>
      <c r="B2192" s="2" t="str">
        <f>"FES1162770279"</f>
        <v>FES1162770279</v>
      </c>
      <c r="C2192" s="2" t="s">
        <v>1353</v>
      </c>
      <c r="D2192" s="2">
        <v>1</v>
      </c>
      <c r="E2192" s="2" t="str">
        <f>"2170756982"</f>
        <v>2170756982</v>
      </c>
      <c r="F2192" s="2" t="s">
        <v>17</v>
      </c>
      <c r="G2192" s="2" t="s">
        <v>18</v>
      </c>
      <c r="H2192" s="2" t="s">
        <v>33</v>
      </c>
      <c r="I2192" s="2" t="s">
        <v>34</v>
      </c>
      <c r="J2192" s="2" t="s">
        <v>317</v>
      </c>
      <c r="K2192" s="2" t="s">
        <v>1506</v>
      </c>
      <c r="L2192" s="3">
        <v>0.43333333333333335</v>
      </c>
      <c r="M2192" s="2" t="s">
        <v>1611</v>
      </c>
      <c r="N2192" s="2" t="s">
        <v>500</v>
      </c>
      <c r="O2192" s="2"/>
    </row>
    <row r="2193" spans="1:15" x14ac:dyDescent="0.25">
      <c r="A2193" s="2" t="s">
        <v>15</v>
      </c>
      <c r="B2193" s="2" t="str">
        <f>"FES1162770287"</f>
        <v>FES1162770287</v>
      </c>
      <c r="C2193" s="2" t="s">
        <v>1353</v>
      </c>
      <c r="D2193" s="2">
        <v>1</v>
      </c>
      <c r="E2193" s="2" t="str">
        <f>"2170757558"</f>
        <v>2170757558</v>
      </c>
      <c r="F2193" s="2" t="s">
        <v>17</v>
      </c>
      <c r="G2193" s="2" t="s">
        <v>18</v>
      </c>
      <c r="H2193" s="2" t="s">
        <v>36</v>
      </c>
      <c r="I2193" s="2" t="s">
        <v>37</v>
      </c>
      <c r="J2193" s="2" t="s">
        <v>1421</v>
      </c>
      <c r="K2193" s="2" t="s">
        <v>1506</v>
      </c>
      <c r="L2193" s="3">
        <v>0.375</v>
      </c>
      <c r="M2193" s="2" t="s">
        <v>946</v>
      </c>
      <c r="N2193" s="2" t="s">
        <v>500</v>
      </c>
      <c r="O2193" s="2"/>
    </row>
    <row r="2194" spans="1:15" x14ac:dyDescent="0.25">
      <c r="A2194" s="2" t="s">
        <v>15</v>
      </c>
      <c r="B2194" s="2" t="str">
        <f>"FES1162770281"</f>
        <v>FES1162770281</v>
      </c>
      <c r="C2194" s="2" t="s">
        <v>1353</v>
      </c>
      <c r="D2194" s="2">
        <v>1</v>
      </c>
      <c r="E2194" s="2" t="str">
        <f>"2170757440"</f>
        <v>2170757440</v>
      </c>
      <c r="F2194" s="2" t="s">
        <v>17</v>
      </c>
      <c r="G2194" s="2" t="s">
        <v>18</v>
      </c>
      <c r="H2194" s="2" t="s">
        <v>36</v>
      </c>
      <c r="I2194" s="2" t="s">
        <v>37</v>
      </c>
      <c r="J2194" s="2" t="s">
        <v>467</v>
      </c>
      <c r="K2194" s="2" t="s">
        <v>1506</v>
      </c>
      <c r="L2194" s="3">
        <v>0.4993055555555555</v>
      </c>
      <c r="M2194" s="2" t="s">
        <v>1612</v>
      </c>
      <c r="N2194" s="2" t="s">
        <v>500</v>
      </c>
      <c r="O2194" s="2"/>
    </row>
    <row r="2195" spans="1:15" x14ac:dyDescent="0.25">
      <c r="A2195" s="2" t="s">
        <v>15</v>
      </c>
      <c r="B2195" s="2" t="str">
        <f>"FES1162770267"</f>
        <v>FES1162770267</v>
      </c>
      <c r="C2195" s="2" t="s">
        <v>1353</v>
      </c>
      <c r="D2195" s="2">
        <v>2</v>
      </c>
      <c r="E2195" s="2" t="str">
        <f>"2170753814"</f>
        <v>2170753814</v>
      </c>
      <c r="F2195" s="2" t="s">
        <v>205</v>
      </c>
      <c r="G2195" s="2" t="s">
        <v>206</v>
      </c>
      <c r="H2195" s="2" t="s">
        <v>1303</v>
      </c>
      <c r="I2195" s="2" t="s">
        <v>82</v>
      </c>
      <c r="J2195" s="2" t="s">
        <v>83</v>
      </c>
      <c r="K2195" s="2" t="s">
        <v>1506</v>
      </c>
      <c r="L2195" s="3">
        <v>0.34583333333333338</v>
      </c>
      <c r="M2195" s="2" t="s">
        <v>176</v>
      </c>
      <c r="N2195" s="2" t="s">
        <v>500</v>
      </c>
      <c r="O2195" s="2"/>
    </row>
    <row r="2196" spans="1:15" x14ac:dyDescent="0.25">
      <c r="A2196" s="2" t="s">
        <v>15</v>
      </c>
      <c r="B2196" s="2" t="str">
        <f>"FES1162770271"</f>
        <v>FES1162770271</v>
      </c>
      <c r="C2196" s="2" t="s">
        <v>1353</v>
      </c>
      <c r="D2196" s="2">
        <v>1</v>
      </c>
      <c r="E2196" s="2" t="str">
        <f>"2170754096"</f>
        <v>2170754096</v>
      </c>
      <c r="F2196" s="2" t="s">
        <v>17</v>
      </c>
      <c r="G2196" s="2" t="s">
        <v>18</v>
      </c>
      <c r="H2196" s="2" t="s">
        <v>19</v>
      </c>
      <c r="I2196" s="2" t="s">
        <v>111</v>
      </c>
      <c r="J2196" s="2" t="s">
        <v>357</v>
      </c>
      <c r="K2196" s="2" t="s">
        <v>1506</v>
      </c>
      <c r="L2196" s="3">
        <v>0.33263888888888887</v>
      </c>
      <c r="M2196" s="2" t="s">
        <v>744</v>
      </c>
      <c r="N2196" s="2" t="s">
        <v>500</v>
      </c>
      <c r="O2196" s="2"/>
    </row>
    <row r="2197" spans="1:15" x14ac:dyDescent="0.25">
      <c r="A2197" s="2" t="s">
        <v>15</v>
      </c>
      <c r="B2197" s="2" t="str">
        <f>"FES1162770294"</f>
        <v>FES1162770294</v>
      </c>
      <c r="C2197" s="2" t="s">
        <v>1353</v>
      </c>
      <c r="D2197" s="2">
        <v>1</v>
      </c>
      <c r="E2197" s="2" t="str">
        <f>"2170757463"</f>
        <v>2170757463</v>
      </c>
      <c r="F2197" s="2" t="s">
        <v>17</v>
      </c>
      <c r="G2197" s="2" t="s">
        <v>18</v>
      </c>
      <c r="H2197" s="2" t="s">
        <v>363</v>
      </c>
      <c r="I2197" s="2" t="s">
        <v>489</v>
      </c>
      <c r="J2197" s="2" t="s">
        <v>909</v>
      </c>
      <c r="K2197" s="2" t="s">
        <v>1506</v>
      </c>
      <c r="L2197" s="3">
        <v>0.375</v>
      </c>
      <c r="M2197" s="2" t="s">
        <v>1002</v>
      </c>
      <c r="N2197" s="2" t="s">
        <v>500</v>
      </c>
      <c r="O2197" s="2"/>
    </row>
    <row r="2198" spans="1:15" x14ac:dyDescent="0.25">
      <c r="A2198" s="2" t="s">
        <v>15</v>
      </c>
      <c r="B2198" s="2" t="str">
        <f>"FES1162770276"</f>
        <v>FES1162770276</v>
      </c>
      <c r="C2198" s="2" t="s">
        <v>1353</v>
      </c>
      <c r="D2198" s="2">
        <v>1</v>
      </c>
      <c r="E2198" s="2" t="str">
        <f>"2170756445"</f>
        <v>2170756445</v>
      </c>
      <c r="F2198" s="2" t="s">
        <v>17</v>
      </c>
      <c r="G2198" s="2" t="s">
        <v>18</v>
      </c>
      <c r="H2198" s="2" t="s">
        <v>19</v>
      </c>
      <c r="I2198" s="2" t="s">
        <v>20</v>
      </c>
      <c r="J2198" s="2" t="s">
        <v>447</v>
      </c>
      <c r="K2198" s="2" t="s">
        <v>1506</v>
      </c>
      <c r="L2198" s="3">
        <v>0.52986111111111112</v>
      </c>
      <c r="M2198" s="2" t="s">
        <v>1613</v>
      </c>
      <c r="N2198" s="2" t="s">
        <v>500</v>
      </c>
      <c r="O2198" s="2"/>
    </row>
    <row r="2199" spans="1:15" x14ac:dyDescent="0.25">
      <c r="A2199" s="2" t="s">
        <v>15</v>
      </c>
      <c r="B2199" s="2" t="str">
        <f>"FES1162770289"</f>
        <v>FES1162770289</v>
      </c>
      <c r="C2199" s="2" t="s">
        <v>1353</v>
      </c>
      <c r="D2199" s="2">
        <v>1</v>
      </c>
      <c r="E2199" s="2" t="str">
        <f>"2170757561"</f>
        <v>2170757561</v>
      </c>
      <c r="F2199" s="2" t="s">
        <v>17</v>
      </c>
      <c r="G2199" s="2" t="s">
        <v>18</v>
      </c>
      <c r="H2199" s="2" t="s">
        <v>19</v>
      </c>
      <c r="I2199" s="2" t="s">
        <v>20</v>
      </c>
      <c r="J2199" s="2" t="s">
        <v>327</v>
      </c>
      <c r="K2199" s="2" t="s">
        <v>1506</v>
      </c>
      <c r="L2199" s="3">
        <v>0.3034722222222222</v>
      </c>
      <c r="M2199" s="2" t="s">
        <v>529</v>
      </c>
      <c r="N2199" s="2" t="s">
        <v>500</v>
      </c>
      <c r="O2199" s="2"/>
    </row>
    <row r="2200" spans="1:15" x14ac:dyDescent="0.25">
      <c r="A2200" s="2" t="s">
        <v>15</v>
      </c>
      <c r="B2200" s="2" t="str">
        <f>"FES1162770318"</f>
        <v>FES1162770318</v>
      </c>
      <c r="C2200" s="2" t="s">
        <v>1353</v>
      </c>
      <c r="D2200" s="2">
        <v>1</v>
      </c>
      <c r="E2200" s="2" t="str">
        <f>"2170757599"</f>
        <v>2170757599</v>
      </c>
      <c r="F2200" s="2" t="s">
        <v>17</v>
      </c>
      <c r="G2200" s="2" t="s">
        <v>18</v>
      </c>
      <c r="H2200" s="2" t="s">
        <v>19</v>
      </c>
      <c r="I2200" s="2" t="s">
        <v>269</v>
      </c>
      <c r="J2200" s="2" t="s">
        <v>270</v>
      </c>
      <c r="K2200" s="2" t="s">
        <v>1506</v>
      </c>
      <c r="L2200" s="3">
        <v>0.4375</v>
      </c>
      <c r="M2200" s="2" t="s">
        <v>1614</v>
      </c>
      <c r="N2200" s="2" t="s">
        <v>500</v>
      </c>
      <c r="O2200" s="2"/>
    </row>
    <row r="2201" spans="1:15" x14ac:dyDescent="0.25">
      <c r="A2201" s="2" t="s">
        <v>15</v>
      </c>
      <c r="B2201" s="2" t="str">
        <f>"FES1162770288"</f>
        <v>FES1162770288</v>
      </c>
      <c r="C2201" s="2" t="s">
        <v>1353</v>
      </c>
      <c r="D2201" s="2">
        <v>1</v>
      </c>
      <c r="E2201" s="2" t="str">
        <f>"2170757559"</f>
        <v>2170757559</v>
      </c>
      <c r="F2201" s="2" t="s">
        <v>17</v>
      </c>
      <c r="G2201" s="2" t="s">
        <v>18</v>
      </c>
      <c r="H2201" s="2" t="s">
        <v>19</v>
      </c>
      <c r="I2201" s="2" t="s">
        <v>20</v>
      </c>
      <c r="J2201" s="2" t="s">
        <v>166</v>
      </c>
      <c r="K2201" s="2" t="s">
        <v>1506</v>
      </c>
      <c r="L2201" s="3">
        <v>0.4375</v>
      </c>
      <c r="M2201" s="2" t="s">
        <v>1615</v>
      </c>
      <c r="N2201" s="2" t="s">
        <v>500</v>
      </c>
      <c r="O2201" s="2"/>
    </row>
    <row r="2202" spans="1:15" x14ac:dyDescent="0.25">
      <c r="A2202" s="2" t="s">
        <v>15</v>
      </c>
      <c r="B2202" s="2" t="str">
        <f>"FES1162770333"</f>
        <v>FES1162770333</v>
      </c>
      <c r="C2202" s="2" t="s">
        <v>1353</v>
      </c>
      <c r="D2202" s="2">
        <v>1</v>
      </c>
      <c r="E2202" s="2" t="str">
        <f>"2170757614"</f>
        <v>2170757614</v>
      </c>
      <c r="F2202" s="2" t="s">
        <v>17</v>
      </c>
      <c r="G2202" s="2" t="s">
        <v>18</v>
      </c>
      <c r="H2202" s="2" t="s">
        <v>18</v>
      </c>
      <c r="I2202" s="2" t="s">
        <v>65</v>
      </c>
      <c r="J2202" s="2" t="s">
        <v>66</v>
      </c>
      <c r="K2202" s="2" t="s">
        <v>1506</v>
      </c>
      <c r="L2202" s="3">
        <v>0.31666666666666665</v>
      </c>
      <c r="M2202" s="2" t="s">
        <v>189</v>
      </c>
      <c r="N2202" s="2" t="s">
        <v>500</v>
      </c>
      <c r="O2202" s="2"/>
    </row>
    <row r="2203" spans="1:15" x14ac:dyDescent="0.25">
      <c r="A2203" s="2" t="s">
        <v>15</v>
      </c>
      <c r="B2203" s="2" t="str">
        <f>"FES1162770339"</f>
        <v>FES1162770339</v>
      </c>
      <c r="C2203" s="2" t="s">
        <v>1353</v>
      </c>
      <c r="D2203" s="2">
        <v>1</v>
      </c>
      <c r="E2203" s="2" t="str">
        <f>"2170757621"</f>
        <v>2170757621</v>
      </c>
      <c r="F2203" s="2" t="s">
        <v>17</v>
      </c>
      <c r="G2203" s="2" t="s">
        <v>18</v>
      </c>
      <c r="H2203" s="2" t="s">
        <v>18</v>
      </c>
      <c r="I2203" s="2" t="s">
        <v>57</v>
      </c>
      <c r="J2203" s="2" t="s">
        <v>1616</v>
      </c>
      <c r="K2203" s="2" t="s">
        <v>1506</v>
      </c>
      <c r="L2203" s="3">
        <v>0.33611111111111108</v>
      </c>
      <c r="M2203" s="2" t="s">
        <v>925</v>
      </c>
      <c r="N2203" s="2" t="s">
        <v>500</v>
      </c>
      <c r="O2203" s="2"/>
    </row>
    <row r="2204" spans="1:15" x14ac:dyDescent="0.25">
      <c r="A2204" s="2" t="s">
        <v>15</v>
      </c>
      <c r="B2204" s="2" t="str">
        <f>"FES1162770321"</f>
        <v>FES1162770321</v>
      </c>
      <c r="C2204" s="2" t="s">
        <v>1353</v>
      </c>
      <c r="D2204" s="2">
        <v>1</v>
      </c>
      <c r="E2204" s="2" t="str">
        <f>"2170757603"</f>
        <v>2170757603</v>
      </c>
      <c r="F2204" s="2" t="s">
        <v>17</v>
      </c>
      <c r="G2204" s="2" t="s">
        <v>18</v>
      </c>
      <c r="H2204" s="2" t="s">
        <v>78</v>
      </c>
      <c r="I2204" s="2" t="s">
        <v>79</v>
      </c>
      <c r="J2204" s="2" t="s">
        <v>383</v>
      </c>
      <c r="K2204" s="2" t="s">
        <v>1506</v>
      </c>
      <c r="L2204" s="3">
        <v>0.4291666666666667</v>
      </c>
      <c r="M2204" s="2" t="s">
        <v>1617</v>
      </c>
      <c r="N2204" s="2" t="s">
        <v>500</v>
      </c>
      <c r="O2204" s="2"/>
    </row>
    <row r="2205" spans="1:15" x14ac:dyDescent="0.25">
      <c r="A2205" s="2" t="s">
        <v>15</v>
      </c>
      <c r="B2205" s="2" t="str">
        <f>"FES1162770280"</f>
        <v>FES1162770280</v>
      </c>
      <c r="C2205" s="2" t="s">
        <v>1353</v>
      </c>
      <c r="D2205" s="2">
        <v>1</v>
      </c>
      <c r="E2205" s="2" t="str">
        <f>"2170757105"</f>
        <v>2170757105</v>
      </c>
      <c r="F2205" s="2" t="s">
        <v>205</v>
      </c>
      <c r="G2205" s="2" t="s">
        <v>206</v>
      </c>
      <c r="H2205" s="2" t="s">
        <v>78</v>
      </c>
      <c r="I2205" s="2" t="s">
        <v>79</v>
      </c>
      <c r="J2205" s="2" t="s">
        <v>630</v>
      </c>
      <c r="K2205" s="2" t="s">
        <v>1513</v>
      </c>
      <c r="L2205" s="3">
        <v>0.57291666666666663</v>
      </c>
      <c r="M2205" s="2" t="s">
        <v>1618</v>
      </c>
      <c r="N2205" s="2" t="s">
        <v>500</v>
      </c>
      <c r="O2205" s="2"/>
    </row>
    <row r="2206" spans="1:15" x14ac:dyDescent="0.25">
      <c r="A2206" s="2" t="s">
        <v>15</v>
      </c>
      <c r="B2206" s="2" t="str">
        <f>"FES1162770328"</f>
        <v>FES1162770328</v>
      </c>
      <c r="C2206" s="2" t="s">
        <v>1353</v>
      </c>
      <c r="D2206" s="2">
        <v>1</v>
      </c>
      <c r="E2206" s="2" t="str">
        <f>"2170757611"</f>
        <v>2170757611</v>
      </c>
      <c r="F2206" s="2" t="s">
        <v>17</v>
      </c>
      <c r="G2206" s="2" t="s">
        <v>18</v>
      </c>
      <c r="H2206" s="2" t="s">
        <v>19</v>
      </c>
      <c r="I2206" s="2" t="s">
        <v>114</v>
      </c>
      <c r="J2206" s="2" t="s">
        <v>1619</v>
      </c>
      <c r="K2206" s="2" t="s">
        <v>1506</v>
      </c>
      <c r="L2206" s="3">
        <v>0.4375</v>
      </c>
      <c r="M2206" s="2" t="s">
        <v>1620</v>
      </c>
      <c r="N2206" s="2" t="s">
        <v>500</v>
      </c>
      <c r="O2206" s="2"/>
    </row>
    <row r="2207" spans="1:15" x14ac:dyDescent="0.25">
      <c r="A2207" s="2" t="s">
        <v>15</v>
      </c>
      <c r="B2207" s="2" t="str">
        <f>"FES1162770341"</f>
        <v>FES1162770341</v>
      </c>
      <c r="C2207" s="2" t="s">
        <v>1353</v>
      </c>
      <c r="D2207" s="2">
        <v>1</v>
      </c>
      <c r="E2207" s="2" t="str">
        <f>"2170757626"</f>
        <v>2170757626</v>
      </c>
      <c r="F2207" s="2" t="s">
        <v>17</v>
      </c>
      <c r="G2207" s="2" t="s">
        <v>18</v>
      </c>
      <c r="H2207" s="2" t="s">
        <v>206</v>
      </c>
      <c r="I2207" s="2" t="s">
        <v>63</v>
      </c>
      <c r="J2207" s="2" t="s">
        <v>421</v>
      </c>
      <c r="K2207" s="2" t="s">
        <v>1506</v>
      </c>
      <c r="L2207" s="3">
        <v>0.4375</v>
      </c>
      <c r="M2207" s="2" t="s">
        <v>1621</v>
      </c>
      <c r="N2207" s="2" t="s">
        <v>500</v>
      </c>
      <c r="O2207" s="2"/>
    </row>
    <row r="2208" spans="1:15" x14ac:dyDescent="0.25">
      <c r="A2208" s="2" t="s">
        <v>15</v>
      </c>
      <c r="B2208" s="2" t="str">
        <f>"FES1162770352"</f>
        <v>FES1162770352</v>
      </c>
      <c r="C2208" s="2" t="s">
        <v>1353</v>
      </c>
      <c r="D2208" s="2">
        <v>1</v>
      </c>
      <c r="E2208" s="2" t="str">
        <f>"2170755050"</f>
        <v>2170755050</v>
      </c>
      <c r="F2208" s="2" t="s">
        <v>17</v>
      </c>
      <c r="G2208" s="2" t="s">
        <v>18</v>
      </c>
      <c r="H2208" s="2" t="s">
        <v>25</v>
      </c>
      <c r="I2208" s="2" t="s">
        <v>26</v>
      </c>
      <c r="J2208" s="2" t="s">
        <v>1225</v>
      </c>
      <c r="K2208" s="2" t="s">
        <v>1506</v>
      </c>
      <c r="L2208" s="3">
        <v>0.41666666666666669</v>
      </c>
      <c r="M2208" s="2" t="s">
        <v>1622</v>
      </c>
      <c r="N2208" s="2" t="s">
        <v>500</v>
      </c>
      <c r="O2208" s="2"/>
    </row>
    <row r="2209" spans="1:15" x14ac:dyDescent="0.25">
      <c r="A2209" s="2" t="s">
        <v>15</v>
      </c>
      <c r="B2209" s="2" t="str">
        <f>"FES1162770345"</f>
        <v>FES1162770345</v>
      </c>
      <c r="C2209" s="2" t="s">
        <v>1353</v>
      </c>
      <c r="D2209" s="2">
        <v>1</v>
      </c>
      <c r="E2209" s="2" t="str">
        <f>"2170757619"</f>
        <v>2170757619</v>
      </c>
      <c r="F2209" s="2" t="s">
        <v>17</v>
      </c>
      <c r="G2209" s="2" t="s">
        <v>18</v>
      </c>
      <c r="H2209" s="2" t="s">
        <v>18</v>
      </c>
      <c r="I2209" s="2" t="s">
        <v>57</v>
      </c>
      <c r="J2209" s="2" t="s">
        <v>475</v>
      </c>
      <c r="K2209" s="2" t="s">
        <v>1506</v>
      </c>
      <c r="L2209" s="3">
        <v>0.31111111111111112</v>
      </c>
      <c r="M2209" s="2" t="s">
        <v>1623</v>
      </c>
      <c r="N2209" s="2" t="s">
        <v>500</v>
      </c>
      <c r="O2209" s="2"/>
    </row>
    <row r="2210" spans="1:15" x14ac:dyDescent="0.25">
      <c r="A2210" s="2" t="s">
        <v>15</v>
      </c>
      <c r="B2210" s="2" t="str">
        <f>"FES1162769476"</f>
        <v>FES1162769476</v>
      </c>
      <c r="C2210" s="2" t="s">
        <v>1353</v>
      </c>
      <c r="D2210" s="2">
        <v>1</v>
      </c>
      <c r="E2210" s="2" t="str">
        <f>"2170754732"</f>
        <v>2170754732</v>
      </c>
      <c r="F2210" s="2" t="s">
        <v>17</v>
      </c>
      <c r="G2210" s="2" t="s">
        <v>18</v>
      </c>
      <c r="H2210" s="2" t="s">
        <v>19</v>
      </c>
      <c r="I2210" s="2" t="s">
        <v>130</v>
      </c>
      <c r="J2210" s="2" t="s">
        <v>131</v>
      </c>
      <c r="K2210" s="2" t="s">
        <v>1506</v>
      </c>
      <c r="L2210" s="3">
        <v>0.4375</v>
      </c>
      <c r="M2210" s="2" t="s">
        <v>1624</v>
      </c>
      <c r="N2210" s="2" t="s">
        <v>500</v>
      </c>
      <c r="O2210" s="2"/>
    </row>
    <row r="2211" spans="1:15" x14ac:dyDescent="0.25">
      <c r="A2211" s="2" t="s">
        <v>15</v>
      </c>
      <c r="B2211" s="2" t="str">
        <f>"FES1162770348"</f>
        <v>FES1162770348</v>
      </c>
      <c r="C2211" s="2" t="s">
        <v>1353</v>
      </c>
      <c r="D2211" s="2">
        <v>1</v>
      </c>
      <c r="E2211" s="2" t="str">
        <f>"2170757638"</f>
        <v>2170757638</v>
      </c>
      <c r="F2211" s="2" t="s">
        <v>17</v>
      </c>
      <c r="G2211" s="2" t="s">
        <v>18</v>
      </c>
      <c r="H2211" s="2" t="s">
        <v>19</v>
      </c>
      <c r="I2211" s="2" t="s">
        <v>20</v>
      </c>
      <c r="J2211" s="2" t="s">
        <v>606</v>
      </c>
      <c r="K2211" s="2" t="s">
        <v>1506</v>
      </c>
      <c r="L2211" s="3">
        <v>0.4375</v>
      </c>
      <c r="M2211" s="2" t="s">
        <v>1625</v>
      </c>
      <c r="N2211" s="2" t="s">
        <v>500</v>
      </c>
      <c r="O2211" s="2"/>
    </row>
    <row r="2212" spans="1:15" x14ac:dyDescent="0.25">
      <c r="A2212" s="2" t="s">
        <v>15</v>
      </c>
      <c r="B2212" s="2" t="str">
        <f>"FES1162770358"</f>
        <v>FES1162770358</v>
      </c>
      <c r="C2212" s="2" t="s">
        <v>1353</v>
      </c>
      <c r="D2212" s="2">
        <v>1</v>
      </c>
      <c r="E2212" s="2" t="str">
        <f>"2170757646"</f>
        <v>2170757646</v>
      </c>
      <c r="F2212" s="2" t="s">
        <v>17</v>
      </c>
      <c r="G2212" s="2" t="s">
        <v>18</v>
      </c>
      <c r="H2212" s="2" t="s">
        <v>25</v>
      </c>
      <c r="I2212" s="2" t="s">
        <v>42</v>
      </c>
      <c r="J2212" s="2" t="s">
        <v>416</v>
      </c>
      <c r="K2212" s="2" t="s">
        <v>1506</v>
      </c>
      <c r="L2212" s="3">
        <v>0.50347222222222221</v>
      </c>
      <c r="M2212" s="2" t="s">
        <v>517</v>
      </c>
      <c r="N2212" s="2" t="s">
        <v>500</v>
      </c>
      <c r="O2212" s="2"/>
    </row>
    <row r="2213" spans="1:15" x14ac:dyDescent="0.25">
      <c r="A2213" s="2" t="s">
        <v>15</v>
      </c>
      <c r="B2213" s="2" t="str">
        <f>"FES1162769963"</f>
        <v>FES1162769963</v>
      </c>
      <c r="C2213" s="2" t="s">
        <v>1353</v>
      </c>
      <c r="D2213" s="2">
        <v>1</v>
      </c>
      <c r="E2213" s="2" t="str">
        <f>"2170755609"</f>
        <v>2170755609</v>
      </c>
      <c r="F2213" s="2" t="s">
        <v>17</v>
      </c>
      <c r="G2213" s="2" t="s">
        <v>18</v>
      </c>
      <c r="H2213" s="2" t="s">
        <v>36</v>
      </c>
      <c r="I2213" s="2" t="s">
        <v>37</v>
      </c>
      <c r="J2213" s="2" t="s">
        <v>462</v>
      </c>
      <c r="K2213" s="2" t="s">
        <v>1506</v>
      </c>
      <c r="L2213" s="3">
        <v>0.43055555555555558</v>
      </c>
      <c r="M2213" s="2" t="s">
        <v>1626</v>
      </c>
      <c r="N2213" s="2" t="s">
        <v>500</v>
      </c>
      <c r="O2213" s="2"/>
    </row>
    <row r="2214" spans="1:15" x14ac:dyDescent="0.25">
      <c r="A2214" s="2" t="s">
        <v>15</v>
      </c>
      <c r="B2214" s="2" t="str">
        <f>"FES1162769546"</f>
        <v>FES1162769546</v>
      </c>
      <c r="C2214" s="2" t="s">
        <v>1353</v>
      </c>
      <c r="D2214" s="2">
        <v>1</v>
      </c>
      <c r="E2214" s="2" t="str">
        <f>"2170752862"</f>
        <v>2170752862</v>
      </c>
      <c r="F2214" s="2" t="s">
        <v>17</v>
      </c>
      <c r="G2214" s="2" t="s">
        <v>18</v>
      </c>
      <c r="H2214" s="2" t="s">
        <v>36</v>
      </c>
      <c r="I2214" s="2" t="s">
        <v>37</v>
      </c>
      <c r="J2214" s="2" t="s">
        <v>162</v>
      </c>
      <c r="K2214" s="2" t="s">
        <v>1506</v>
      </c>
      <c r="L2214" s="3">
        <v>0.33333333333333331</v>
      </c>
      <c r="M2214" s="2" t="s">
        <v>1627</v>
      </c>
      <c r="N2214" s="2" t="s">
        <v>500</v>
      </c>
      <c r="O2214" s="2"/>
    </row>
    <row r="2215" spans="1:15" x14ac:dyDescent="0.25">
      <c r="A2215" s="2" t="s">
        <v>15</v>
      </c>
      <c r="B2215" s="2" t="str">
        <f>"FES1162770322"</f>
        <v>FES1162770322</v>
      </c>
      <c r="C2215" s="2" t="s">
        <v>1353</v>
      </c>
      <c r="D2215" s="2">
        <v>1</v>
      </c>
      <c r="E2215" s="2" t="str">
        <f>"2170757604"</f>
        <v>2170757604</v>
      </c>
      <c r="F2215" s="2" t="s">
        <v>17</v>
      </c>
      <c r="G2215" s="2" t="s">
        <v>18</v>
      </c>
      <c r="H2215" s="2" t="s">
        <v>19</v>
      </c>
      <c r="I2215" s="2" t="s">
        <v>114</v>
      </c>
      <c r="J2215" s="2" t="s">
        <v>66</v>
      </c>
      <c r="K2215" s="2" t="s">
        <v>1506</v>
      </c>
      <c r="L2215" s="3">
        <v>0.4375</v>
      </c>
      <c r="M2215" s="2" t="s">
        <v>1507</v>
      </c>
      <c r="N2215" s="2" t="s">
        <v>500</v>
      </c>
      <c r="O2215" s="2"/>
    </row>
    <row r="2216" spans="1:15" x14ac:dyDescent="0.25">
      <c r="A2216" s="2" t="s">
        <v>15</v>
      </c>
      <c r="B2216" s="2" t="str">
        <f>"FES1162770357"</f>
        <v>FES1162770357</v>
      </c>
      <c r="C2216" s="2" t="s">
        <v>1353</v>
      </c>
      <c r="D2216" s="2">
        <v>1</v>
      </c>
      <c r="E2216" s="2" t="str">
        <f>"2170757645"</f>
        <v>2170757645</v>
      </c>
      <c r="F2216" s="2" t="s">
        <v>17</v>
      </c>
      <c r="G2216" s="2" t="s">
        <v>18</v>
      </c>
      <c r="H2216" s="2" t="s">
        <v>19</v>
      </c>
      <c r="I2216" s="2" t="s">
        <v>20</v>
      </c>
      <c r="J2216" s="2" t="s">
        <v>281</v>
      </c>
      <c r="K2216" s="2" t="s">
        <v>1513</v>
      </c>
      <c r="L2216" s="3">
        <v>0.4375</v>
      </c>
      <c r="M2216" s="2" t="s">
        <v>1628</v>
      </c>
      <c r="N2216" s="2" t="s">
        <v>500</v>
      </c>
      <c r="O2216" s="2"/>
    </row>
    <row r="2217" spans="1:15" x14ac:dyDescent="0.25">
      <c r="A2217" s="2" t="s">
        <v>15</v>
      </c>
      <c r="B2217" s="2" t="str">
        <f>"FES1162770319"</f>
        <v>FES1162770319</v>
      </c>
      <c r="C2217" s="2" t="s">
        <v>1353</v>
      </c>
      <c r="D2217" s="2">
        <v>1</v>
      </c>
      <c r="E2217" s="2" t="str">
        <f>"2170757434"</f>
        <v>2170757434</v>
      </c>
      <c r="F2217" s="2" t="s">
        <v>17</v>
      </c>
      <c r="G2217" s="2" t="s">
        <v>18</v>
      </c>
      <c r="H2217" s="2" t="s">
        <v>19</v>
      </c>
      <c r="I2217" s="2" t="s">
        <v>73</v>
      </c>
      <c r="J2217" s="2" t="s">
        <v>76</v>
      </c>
      <c r="K2217" s="2" t="s">
        <v>1506</v>
      </c>
      <c r="L2217" s="3">
        <v>0.4375</v>
      </c>
      <c r="M2217" s="2" t="s">
        <v>235</v>
      </c>
      <c r="N2217" s="2" t="s">
        <v>500</v>
      </c>
      <c r="O2217" s="2"/>
    </row>
    <row r="2218" spans="1:15" x14ac:dyDescent="0.25">
      <c r="A2218" s="2" t="s">
        <v>15</v>
      </c>
      <c r="B2218" s="2" t="str">
        <f>"FES1162769545"</f>
        <v>FES1162769545</v>
      </c>
      <c r="C2218" s="2" t="s">
        <v>1353</v>
      </c>
      <c r="D2218" s="2">
        <v>1</v>
      </c>
      <c r="E2218" s="2" t="str">
        <f>"2170752628"</f>
        <v>2170752628</v>
      </c>
      <c r="F2218" s="2" t="s">
        <v>17</v>
      </c>
      <c r="G2218" s="2" t="s">
        <v>18</v>
      </c>
      <c r="H2218" s="2" t="s">
        <v>36</v>
      </c>
      <c r="I2218" s="2" t="s">
        <v>37</v>
      </c>
      <c r="J2218" s="2" t="s">
        <v>162</v>
      </c>
      <c r="K2218" s="2" t="s">
        <v>1506</v>
      </c>
      <c r="L2218" s="3">
        <v>0.34166666666666662</v>
      </c>
      <c r="M2218" s="2" t="s">
        <v>1629</v>
      </c>
      <c r="N2218" s="2" t="s">
        <v>500</v>
      </c>
      <c r="O2218" s="2"/>
    </row>
    <row r="2219" spans="1:15" x14ac:dyDescent="0.25">
      <c r="A2219" s="2" t="s">
        <v>15</v>
      </c>
      <c r="B2219" s="2" t="str">
        <f>"FES1162769920"</f>
        <v>FES1162769920</v>
      </c>
      <c r="C2219" s="2" t="s">
        <v>1353</v>
      </c>
      <c r="D2219" s="2">
        <v>1</v>
      </c>
      <c r="E2219" s="2" t="str">
        <f>"2170755227"</f>
        <v>2170755227</v>
      </c>
      <c r="F2219" s="2" t="s">
        <v>17</v>
      </c>
      <c r="G2219" s="2" t="s">
        <v>18</v>
      </c>
      <c r="H2219" s="2" t="s">
        <v>18</v>
      </c>
      <c r="I2219" s="2" t="s">
        <v>46</v>
      </c>
      <c r="J2219" s="2" t="s">
        <v>663</v>
      </c>
      <c r="K2219" s="2" t="s">
        <v>1506</v>
      </c>
      <c r="L2219" s="3">
        <v>0.33680555555555558</v>
      </c>
      <c r="M2219" s="2" t="s">
        <v>1630</v>
      </c>
      <c r="N2219" s="2" t="s">
        <v>500</v>
      </c>
      <c r="O2219" s="2"/>
    </row>
    <row r="2220" spans="1:15" x14ac:dyDescent="0.25">
      <c r="A2220" s="2" t="s">
        <v>15</v>
      </c>
      <c r="B2220" s="2" t="str">
        <f>"FES1162770355"</f>
        <v>FES1162770355</v>
      </c>
      <c r="C2220" s="2" t="s">
        <v>1353</v>
      </c>
      <c r="D2220" s="2">
        <v>1</v>
      </c>
      <c r="E2220" s="2" t="str">
        <f>"2170757642"</f>
        <v>2170757642</v>
      </c>
      <c r="F2220" s="2" t="s">
        <v>17</v>
      </c>
      <c r="G2220" s="2" t="s">
        <v>18</v>
      </c>
      <c r="H2220" s="2" t="s">
        <v>33</v>
      </c>
      <c r="I2220" s="2" t="s">
        <v>1631</v>
      </c>
      <c r="J2220" s="2" t="s">
        <v>1632</v>
      </c>
      <c r="K2220" s="2" t="s">
        <v>1506</v>
      </c>
      <c r="L2220" s="3">
        <v>0.33333333333333331</v>
      </c>
      <c r="M2220" s="2" t="s">
        <v>1633</v>
      </c>
      <c r="N2220" s="2" t="s">
        <v>500</v>
      </c>
      <c r="O2220" s="2"/>
    </row>
    <row r="2221" spans="1:15" x14ac:dyDescent="0.25">
      <c r="A2221" s="2" t="s">
        <v>15</v>
      </c>
      <c r="B2221" s="2" t="str">
        <f>"FES1162770344"</f>
        <v>FES1162770344</v>
      </c>
      <c r="C2221" s="2" t="s">
        <v>1353</v>
      </c>
      <c r="D2221" s="2">
        <v>1</v>
      </c>
      <c r="E2221" s="2" t="str">
        <f>"2170757629"</f>
        <v>2170757629</v>
      </c>
      <c r="F2221" s="2" t="s">
        <v>17</v>
      </c>
      <c r="G2221" s="2" t="s">
        <v>18</v>
      </c>
      <c r="H2221" s="2" t="s">
        <v>18</v>
      </c>
      <c r="I2221" s="2" t="s">
        <v>157</v>
      </c>
      <c r="J2221" s="2" t="s">
        <v>347</v>
      </c>
      <c r="K2221" s="2" t="s">
        <v>1506</v>
      </c>
      <c r="L2221" s="3">
        <v>0.42430555555555555</v>
      </c>
      <c r="M2221" s="2" t="s">
        <v>1351</v>
      </c>
      <c r="N2221" s="2" t="s">
        <v>500</v>
      </c>
      <c r="O2221" s="2"/>
    </row>
    <row r="2222" spans="1:15" x14ac:dyDescent="0.25">
      <c r="A2222" s="2" t="s">
        <v>15</v>
      </c>
      <c r="B2222" s="2" t="str">
        <f>"FES1162770311"</f>
        <v>FES1162770311</v>
      </c>
      <c r="C2222" s="2" t="s">
        <v>1353</v>
      </c>
      <c r="D2222" s="2">
        <v>1</v>
      </c>
      <c r="E2222" s="2" t="str">
        <f>"2170757590"</f>
        <v>2170757590</v>
      </c>
      <c r="F2222" s="2" t="s">
        <v>17</v>
      </c>
      <c r="G2222" s="2" t="s">
        <v>18</v>
      </c>
      <c r="H2222" s="2" t="s">
        <v>88</v>
      </c>
      <c r="I2222" s="2" t="s">
        <v>109</v>
      </c>
      <c r="J2222" s="2" t="s">
        <v>155</v>
      </c>
      <c r="K2222" s="2" t="s">
        <v>1506</v>
      </c>
      <c r="L2222" s="3">
        <v>0.4291666666666667</v>
      </c>
      <c r="M2222" s="2" t="s">
        <v>1634</v>
      </c>
      <c r="N2222" s="2" t="s">
        <v>500</v>
      </c>
      <c r="O2222" s="2"/>
    </row>
    <row r="2223" spans="1:15" x14ac:dyDescent="0.25">
      <c r="A2223" s="2" t="s">
        <v>15</v>
      </c>
      <c r="B2223" s="2" t="str">
        <f>"FES1162770336"</f>
        <v>FES1162770336</v>
      </c>
      <c r="C2223" s="2" t="s">
        <v>1353</v>
      </c>
      <c r="D2223" s="2">
        <v>1</v>
      </c>
      <c r="E2223" s="2" t="str">
        <f>"2170750934"</f>
        <v>2170750934</v>
      </c>
      <c r="F2223" s="2" t="s">
        <v>17</v>
      </c>
      <c r="G2223" s="2" t="s">
        <v>18</v>
      </c>
      <c r="H2223" s="2" t="s">
        <v>18</v>
      </c>
      <c r="I2223" s="2" t="s">
        <v>63</v>
      </c>
      <c r="J2223" s="2" t="s">
        <v>1635</v>
      </c>
      <c r="K2223" s="2" t="s">
        <v>1506</v>
      </c>
      <c r="L2223" s="3">
        <v>0.4375</v>
      </c>
      <c r="M2223" s="2" t="s">
        <v>1636</v>
      </c>
      <c r="N2223" s="2" t="s">
        <v>500</v>
      </c>
      <c r="O2223" s="2"/>
    </row>
    <row r="2224" spans="1:15" x14ac:dyDescent="0.25">
      <c r="A2224" s="2" t="s">
        <v>15</v>
      </c>
      <c r="B2224" s="2" t="str">
        <f>"FES1162770246"</f>
        <v>FES1162770246</v>
      </c>
      <c r="C2224" s="2" t="s">
        <v>1353</v>
      </c>
      <c r="D2224" s="2">
        <v>1</v>
      </c>
      <c r="E2224" s="2" t="str">
        <f>"2170757136"</f>
        <v>2170757136</v>
      </c>
      <c r="F2224" s="2" t="s">
        <v>17</v>
      </c>
      <c r="G2224" s="2" t="s">
        <v>18</v>
      </c>
      <c r="H2224" s="2" t="s">
        <v>18</v>
      </c>
      <c r="I2224" s="2" t="s">
        <v>157</v>
      </c>
      <c r="J2224" s="2" t="s">
        <v>347</v>
      </c>
      <c r="K2224" s="2" t="s">
        <v>1506</v>
      </c>
      <c r="L2224" s="3">
        <v>0.42430555555555555</v>
      </c>
      <c r="M2224" s="2" t="s">
        <v>1351</v>
      </c>
      <c r="N2224" s="2" t="s">
        <v>500</v>
      </c>
      <c r="O2224" s="2"/>
    </row>
    <row r="2225" spans="1:15" x14ac:dyDescent="0.25">
      <c r="A2225" s="2" t="s">
        <v>15</v>
      </c>
      <c r="B2225" s="2" t="str">
        <f>"FES1162770282"</f>
        <v>FES1162770282</v>
      </c>
      <c r="C2225" s="2" t="s">
        <v>1353</v>
      </c>
      <c r="D2225" s="2">
        <v>1</v>
      </c>
      <c r="E2225" s="2" t="str">
        <f>"2170757534"</f>
        <v>2170757534</v>
      </c>
      <c r="F2225" s="2" t="s">
        <v>17</v>
      </c>
      <c r="G2225" s="2" t="s">
        <v>18</v>
      </c>
      <c r="H2225" s="2" t="s">
        <v>18</v>
      </c>
      <c r="I2225" s="2" t="s">
        <v>163</v>
      </c>
      <c r="J2225" s="2" t="s">
        <v>1150</v>
      </c>
      <c r="K2225" s="2" t="s">
        <v>1506</v>
      </c>
      <c r="L2225" s="3">
        <v>0.3666666666666667</v>
      </c>
      <c r="M2225" s="2" t="s">
        <v>1217</v>
      </c>
      <c r="N2225" s="2" t="s">
        <v>500</v>
      </c>
      <c r="O2225" s="2"/>
    </row>
    <row r="2226" spans="1:15" x14ac:dyDescent="0.25">
      <c r="A2226" s="2" t="s">
        <v>15</v>
      </c>
      <c r="B2226" s="2" t="str">
        <f>"FES1162770346"</f>
        <v>FES1162770346</v>
      </c>
      <c r="C2226" s="2" t="s">
        <v>1353</v>
      </c>
      <c r="D2226" s="2">
        <v>1</v>
      </c>
      <c r="E2226" s="2" t="str">
        <f>"2170757627"</f>
        <v>2170757627</v>
      </c>
      <c r="F2226" s="2" t="s">
        <v>17</v>
      </c>
      <c r="G2226" s="2" t="s">
        <v>18</v>
      </c>
      <c r="H2226" s="2" t="s">
        <v>88</v>
      </c>
      <c r="I2226" s="2" t="s">
        <v>109</v>
      </c>
      <c r="J2226" s="2" t="s">
        <v>1637</v>
      </c>
      <c r="K2226" s="2" t="s">
        <v>1506</v>
      </c>
      <c r="L2226" s="3">
        <v>0.42708333333333331</v>
      </c>
      <c r="M2226" s="2" t="s">
        <v>1638</v>
      </c>
      <c r="N2226" s="2" t="s">
        <v>500</v>
      </c>
      <c r="O2226" s="2"/>
    </row>
    <row r="2227" spans="1:15" x14ac:dyDescent="0.25">
      <c r="A2227" s="2" t="s">
        <v>15</v>
      </c>
      <c r="B2227" s="2" t="str">
        <f>"FES1162770342"</f>
        <v>FES1162770342</v>
      </c>
      <c r="C2227" s="2" t="s">
        <v>1353</v>
      </c>
      <c r="D2227" s="2">
        <v>1</v>
      </c>
      <c r="E2227" s="2" t="str">
        <f>"2170757627"</f>
        <v>2170757627</v>
      </c>
      <c r="F2227" s="2" t="s">
        <v>17</v>
      </c>
      <c r="G2227" s="2" t="s">
        <v>18</v>
      </c>
      <c r="H2227" s="2" t="s">
        <v>88</v>
      </c>
      <c r="I2227" s="2" t="s">
        <v>109</v>
      </c>
      <c r="J2227" s="2" t="s">
        <v>1637</v>
      </c>
      <c r="K2227" s="2" t="s">
        <v>1506</v>
      </c>
      <c r="L2227" s="3">
        <v>0.42708333333333331</v>
      </c>
      <c r="M2227" s="2" t="s">
        <v>1638</v>
      </c>
      <c r="N2227" s="2" t="s">
        <v>500</v>
      </c>
      <c r="O2227" s="2"/>
    </row>
    <row r="2228" spans="1:15" x14ac:dyDescent="0.25">
      <c r="A2228" s="2" t="s">
        <v>15</v>
      </c>
      <c r="B2228" s="2" t="str">
        <f>"FES1162770290"</f>
        <v>FES1162770290</v>
      </c>
      <c r="C2228" s="2" t="s">
        <v>1353</v>
      </c>
      <c r="D2228" s="2">
        <v>1</v>
      </c>
      <c r="E2228" s="2" t="str">
        <f>"2170757564"</f>
        <v>2170757564</v>
      </c>
      <c r="F2228" s="2" t="s">
        <v>17</v>
      </c>
      <c r="G2228" s="2" t="s">
        <v>18</v>
      </c>
      <c r="H2228" s="2" t="s">
        <v>18</v>
      </c>
      <c r="I2228" s="2" t="s">
        <v>157</v>
      </c>
      <c r="J2228" s="2" t="s">
        <v>347</v>
      </c>
      <c r="K2228" s="2" t="s">
        <v>1506</v>
      </c>
      <c r="L2228" s="3">
        <v>0.42430555555555555</v>
      </c>
      <c r="M2228" s="2" t="s">
        <v>1351</v>
      </c>
      <c r="N2228" s="2" t="s">
        <v>500</v>
      </c>
      <c r="O2228" s="2"/>
    </row>
    <row r="2229" spans="1:15" x14ac:dyDescent="0.25">
      <c r="A2229" s="2" t="s">
        <v>15</v>
      </c>
      <c r="B2229" s="2" t="str">
        <f>"FES1162770351"</f>
        <v>FES1162770351</v>
      </c>
      <c r="C2229" s="2" t="s">
        <v>1353</v>
      </c>
      <c r="D2229" s="2">
        <v>1</v>
      </c>
      <c r="E2229" s="2" t="str">
        <f>"2170757487"</f>
        <v>2170757487</v>
      </c>
      <c r="F2229" s="2" t="s">
        <v>17</v>
      </c>
      <c r="G2229" s="2" t="s">
        <v>18</v>
      </c>
      <c r="H2229" s="2" t="s">
        <v>88</v>
      </c>
      <c r="I2229" s="2" t="s">
        <v>109</v>
      </c>
      <c r="J2229" s="2" t="s">
        <v>880</v>
      </c>
      <c r="K2229" s="2" t="s">
        <v>1506</v>
      </c>
      <c r="L2229" s="3">
        <v>0.4916666666666667</v>
      </c>
      <c r="M2229" s="2" t="s">
        <v>1639</v>
      </c>
      <c r="N2229" s="2" t="s">
        <v>500</v>
      </c>
      <c r="O2229" s="2"/>
    </row>
    <row r="2230" spans="1:15" x14ac:dyDescent="0.25">
      <c r="A2230" s="2" t="s">
        <v>15</v>
      </c>
      <c r="B2230" s="2" t="str">
        <f>"009940283618"</f>
        <v>009940283618</v>
      </c>
      <c r="C2230" s="2" t="s">
        <v>1353</v>
      </c>
      <c r="D2230" s="2">
        <v>1</v>
      </c>
      <c r="E2230" s="2" t="str">
        <f>"DOCUMENTS"</f>
        <v>DOCUMENTS</v>
      </c>
      <c r="F2230" s="2" t="s">
        <v>17</v>
      </c>
      <c r="G2230" s="2" t="s">
        <v>18</v>
      </c>
      <c r="H2230" s="2" t="s">
        <v>18</v>
      </c>
      <c r="I2230" s="2" t="s">
        <v>50</v>
      </c>
      <c r="J2230" s="2" t="s">
        <v>1640</v>
      </c>
      <c r="K2230" s="2" t="s">
        <v>1506</v>
      </c>
      <c r="L2230" s="3">
        <v>0.5</v>
      </c>
      <c r="M2230" s="2" t="s">
        <v>1641</v>
      </c>
      <c r="N2230" s="2" t="s">
        <v>500</v>
      </c>
      <c r="O2230" s="2"/>
    </row>
    <row r="2231" spans="1:15" x14ac:dyDescent="0.25">
      <c r="A2231" s="2" t="s">
        <v>15</v>
      </c>
      <c r="B2231" s="2" t="str">
        <f>"FES1162769454"</f>
        <v>FES1162769454</v>
      </c>
      <c r="C2231" s="2" t="s">
        <v>1353</v>
      </c>
      <c r="D2231" s="2">
        <v>1</v>
      </c>
      <c r="E2231" s="2" t="str">
        <f>"2170752841"</f>
        <v>2170752841</v>
      </c>
      <c r="F2231" s="2" t="s">
        <v>17</v>
      </c>
      <c r="G2231" s="2" t="s">
        <v>18</v>
      </c>
      <c r="H2231" s="2" t="s">
        <v>18</v>
      </c>
      <c r="I2231" s="2" t="s">
        <v>290</v>
      </c>
      <c r="J2231" s="2" t="s">
        <v>492</v>
      </c>
      <c r="K2231" s="2" t="s">
        <v>1506</v>
      </c>
      <c r="L2231" s="3">
        <v>0.41666666666666669</v>
      </c>
      <c r="M2231" s="2" t="s">
        <v>987</v>
      </c>
      <c r="N2231" s="2" t="s">
        <v>500</v>
      </c>
      <c r="O2231" s="2"/>
    </row>
    <row r="2232" spans="1:15" x14ac:dyDescent="0.25">
      <c r="A2232" s="2" t="s">
        <v>15</v>
      </c>
      <c r="B2232" s="2" t="str">
        <f>"FES1162770354"</f>
        <v>FES1162770354</v>
      </c>
      <c r="C2232" s="2" t="s">
        <v>1353</v>
      </c>
      <c r="D2232" s="2">
        <v>1</v>
      </c>
      <c r="E2232" s="2" t="str">
        <f>"2170757625"</f>
        <v>2170757625</v>
      </c>
      <c r="F2232" s="2" t="s">
        <v>17</v>
      </c>
      <c r="G2232" s="2" t="s">
        <v>18</v>
      </c>
      <c r="H2232" s="2" t="s">
        <v>18</v>
      </c>
      <c r="I2232" s="2" t="s">
        <v>290</v>
      </c>
      <c r="J2232" s="2" t="s">
        <v>1294</v>
      </c>
      <c r="K2232" s="2" t="s">
        <v>1506</v>
      </c>
      <c r="L2232" s="3">
        <v>0.41111111111111115</v>
      </c>
      <c r="M2232" s="2" t="s">
        <v>176</v>
      </c>
      <c r="N2232" s="2" t="s">
        <v>500</v>
      </c>
      <c r="O2232" s="2"/>
    </row>
    <row r="2233" spans="1:15" x14ac:dyDescent="0.25">
      <c r="A2233" s="2" t="s">
        <v>15</v>
      </c>
      <c r="B2233" s="2" t="str">
        <f>"FES1162770360"</f>
        <v>FES1162770360</v>
      </c>
      <c r="C2233" s="2" t="s">
        <v>1353</v>
      </c>
      <c r="D2233" s="2">
        <v>1</v>
      </c>
      <c r="E2233" s="2" t="str">
        <f>"2170757650"</f>
        <v>2170757650</v>
      </c>
      <c r="F2233" s="2" t="s">
        <v>17</v>
      </c>
      <c r="G2233" s="2" t="s">
        <v>18</v>
      </c>
      <c r="H2233" s="2" t="s">
        <v>18</v>
      </c>
      <c r="I2233" s="2" t="s">
        <v>52</v>
      </c>
      <c r="J2233" s="2" t="s">
        <v>1642</v>
      </c>
      <c r="K2233" s="2" t="s">
        <v>1513</v>
      </c>
      <c r="L2233" s="3">
        <v>0.39097222222222222</v>
      </c>
      <c r="M2233" s="2" t="s">
        <v>1643</v>
      </c>
      <c r="N2233" s="2" t="s">
        <v>500</v>
      </c>
      <c r="O2233" s="2"/>
    </row>
    <row r="2234" spans="1:15" x14ac:dyDescent="0.25">
      <c r="A2234" s="2" t="s">
        <v>15</v>
      </c>
      <c r="B2234" s="2" t="str">
        <f>"FES1162769908"</f>
        <v>FES1162769908</v>
      </c>
      <c r="C2234" s="2" t="s">
        <v>1353</v>
      </c>
      <c r="D2234" s="2">
        <v>1</v>
      </c>
      <c r="E2234" s="2" t="str">
        <f>"2170757219"</f>
        <v>2170757219</v>
      </c>
      <c r="F2234" s="2" t="s">
        <v>17</v>
      </c>
      <c r="G2234" s="2" t="s">
        <v>18</v>
      </c>
      <c r="H2234" s="2" t="s">
        <v>18</v>
      </c>
      <c r="I2234" s="2" t="s">
        <v>50</v>
      </c>
      <c r="J2234" s="2" t="s">
        <v>1644</v>
      </c>
      <c r="K2234" s="2" t="s">
        <v>1506</v>
      </c>
      <c r="L2234" s="3">
        <v>0.41666666666666669</v>
      </c>
      <c r="M2234" s="2" t="s">
        <v>392</v>
      </c>
      <c r="N2234" s="2" t="s">
        <v>500</v>
      </c>
      <c r="O2234" s="2"/>
    </row>
    <row r="2235" spans="1:15" x14ac:dyDescent="0.25">
      <c r="A2235" s="2" t="s">
        <v>15</v>
      </c>
      <c r="B2235" s="2" t="str">
        <f>"FES1162769525"</f>
        <v>FES1162769525</v>
      </c>
      <c r="C2235" s="2" t="s">
        <v>1353</v>
      </c>
      <c r="D2235" s="2">
        <v>1</v>
      </c>
      <c r="E2235" s="2" t="str">
        <f>"2170755728"</f>
        <v>2170755728</v>
      </c>
      <c r="F2235" s="2" t="s">
        <v>17</v>
      </c>
      <c r="G2235" s="2" t="s">
        <v>18</v>
      </c>
      <c r="H2235" s="2" t="s">
        <v>206</v>
      </c>
      <c r="I2235" s="2" t="s">
        <v>116</v>
      </c>
      <c r="J2235" s="2" t="s">
        <v>331</v>
      </c>
      <c r="K2235" s="2" t="s">
        <v>1506</v>
      </c>
      <c r="L2235" s="3">
        <v>0.39930555555555558</v>
      </c>
      <c r="M2235" s="2" t="s">
        <v>1645</v>
      </c>
      <c r="N2235" s="2" t="s">
        <v>500</v>
      </c>
      <c r="O2235" s="2"/>
    </row>
    <row r="2236" spans="1:15" x14ac:dyDescent="0.25">
      <c r="A2236" s="2" t="s">
        <v>15</v>
      </c>
      <c r="B2236" s="2" t="str">
        <f>"FES1162770093"</f>
        <v>FES1162770093</v>
      </c>
      <c r="C2236" s="2" t="s">
        <v>1353</v>
      </c>
      <c r="D2236" s="2">
        <v>1</v>
      </c>
      <c r="E2236" s="2" t="str">
        <f>"2170757341"</f>
        <v>2170757341</v>
      </c>
      <c r="F2236" s="2" t="s">
        <v>17</v>
      </c>
      <c r="G2236" s="2" t="s">
        <v>18</v>
      </c>
      <c r="H2236" s="2" t="s">
        <v>19</v>
      </c>
      <c r="I2236" s="2" t="s">
        <v>111</v>
      </c>
      <c r="J2236" s="2" t="s">
        <v>112</v>
      </c>
      <c r="K2236" s="2" t="s">
        <v>1506</v>
      </c>
      <c r="L2236" s="3">
        <v>0.4055555555555555</v>
      </c>
      <c r="M2236" s="2" t="s">
        <v>986</v>
      </c>
      <c r="N2236" s="2" t="s">
        <v>500</v>
      </c>
      <c r="O2236" s="2"/>
    </row>
    <row r="2237" spans="1:15" x14ac:dyDescent="0.25">
      <c r="A2237" s="2" t="s">
        <v>15</v>
      </c>
      <c r="B2237" s="2" t="str">
        <f>"FES1162770330"</f>
        <v>FES1162770330</v>
      </c>
      <c r="C2237" s="2" t="s">
        <v>1353</v>
      </c>
      <c r="D2237" s="2">
        <v>1</v>
      </c>
      <c r="E2237" s="2" t="str">
        <f>"2170757613"</f>
        <v>2170757613</v>
      </c>
      <c r="F2237" s="2" t="s">
        <v>17</v>
      </c>
      <c r="G2237" s="2" t="s">
        <v>18</v>
      </c>
      <c r="H2237" s="2" t="s">
        <v>18</v>
      </c>
      <c r="I2237" s="2" t="s">
        <v>46</v>
      </c>
      <c r="J2237" s="2" t="s">
        <v>139</v>
      </c>
      <c r="K2237" s="2" t="s">
        <v>1506</v>
      </c>
      <c r="L2237" s="3">
        <v>0.2951388888888889</v>
      </c>
      <c r="M2237" s="2" t="s">
        <v>1646</v>
      </c>
      <c r="N2237" s="2" t="s">
        <v>500</v>
      </c>
      <c r="O2237" s="2"/>
    </row>
    <row r="2238" spans="1:15" x14ac:dyDescent="0.25">
      <c r="A2238" s="2" t="s">
        <v>15</v>
      </c>
      <c r="B2238" s="2" t="str">
        <f>"FES1162769953"</f>
        <v>FES1162769953</v>
      </c>
      <c r="C2238" s="2" t="s">
        <v>1353</v>
      </c>
      <c r="D2238" s="2">
        <v>1</v>
      </c>
      <c r="E2238" s="2" t="str">
        <f>"2170755519"</f>
        <v>2170755519</v>
      </c>
      <c r="F2238" s="2" t="s">
        <v>17</v>
      </c>
      <c r="G2238" s="2" t="s">
        <v>18</v>
      </c>
      <c r="H2238" s="2" t="s">
        <v>363</v>
      </c>
      <c r="I2238" s="2" t="s">
        <v>489</v>
      </c>
      <c r="J2238" s="2" t="s">
        <v>909</v>
      </c>
      <c r="K2238" s="2" t="s">
        <v>1506</v>
      </c>
      <c r="L2238" s="3">
        <v>0.375</v>
      </c>
      <c r="M2238" s="2" t="s">
        <v>1002</v>
      </c>
      <c r="N2238" s="2" t="s">
        <v>500</v>
      </c>
      <c r="O2238" s="2"/>
    </row>
    <row r="2239" spans="1:15" x14ac:dyDescent="0.25">
      <c r="A2239" s="2" t="s">
        <v>15</v>
      </c>
      <c r="B2239" s="2" t="str">
        <f>"FES1162770325"</f>
        <v>FES1162770325</v>
      </c>
      <c r="C2239" s="2" t="s">
        <v>1353</v>
      </c>
      <c r="D2239" s="2">
        <v>1</v>
      </c>
      <c r="E2239" s="2" t="str">
        <f>"2170757178"</f>
        <v>2170757178</v>
      </c>
      <c r="F2239" s="2" t="s">
        <v>17</v>
      </c>
      <c r="G2239" s="2" t="s">
        <v>18</v>
      </c>
      <c r="H2239" s="2" t="s">
        <v>88</v>
      </c>
      <c r="I2239" s="2" t="s">
        <v>109</v>
      </c>
      <c r="J2239" s="2" t="s">
        <v>395</v>
      </c>
      <c r="K2239" s="2" t="s">
        <v>1506</v>
      </c>
      <c r="L2239" s="3">
        <v>0.42708333333333331</v>
      </c>
      <c r="M2239" s="2" t="s">
        <v>1647</v>
      </c>
      <c r="N2239" s="2" t="s">
        <v>500</v>
      </c>
      <c r="O2239" s="2"/>
    </row>
    <row r="2240" spans="1:15" x14ac:dyDescent="0.25">
      <c r="A2240" s="2" t="s">
        <v>15</v>
      </c>
      <c r="B2240" s="2" t="str">
        <f>"FES1162769929"</f>
        <v>FES1162769929</v>
      </c>
      <c r="C2240" s="2" t="s">
        <v>1353</v>
      </c>
      <c r="D2240" s="2">
        <v>1</v>
      </c>
      <c r="E2240" s="2" t="str">
        <f>"2170755267"</f>
        <v>2170755267</v>
      </c>
      <c r="F2240" s="2" t="s">
        <v>17</v>
      </c>
      <c r="G2240" s="2" t="s">
        <v>18</v>
      </c>
      <c r="H2240" s="2" t="s">
        <v>18</v>
      </c>
      <c r="I2240" s="2" t="s">
        <v>63</v>
      </c>
      <c r="J2240" s="2" t="s">
        <v>900</v>
      </c>
      <c r="K2240" s="2" t="s">
        <v>1506</v>
      </c>
      <c r="L2240" s="3">
        <v>0.375</v>
      </c>
      <c r="M2240" s="2" t="s">
        <v>1648</v>
      </c>
      <c r="N2240" s="2" t="s">
        <v>500</v>
      </c>
      <c r="O2240" s="2"/>
    </row>
    <row r="2241" spans="1:15" x14ac:dyDescent="0.25">
      <c r="A2241" s="2" t="s">
        <v>15</v>
      </c>
      <c r="B2241" s="2" t="str">
        <f>"FES1162769946"</f>
        <v>FES1162769946</v>
      </c>
      <c r="C2241" s="2" t="s">
        <v>1353</v>
      </c>
      <c r="D2241" s="2">
        <v>1</v>
      </c>
      <c r="E2241" s="2" t="str">
        <f>"2170755426"</f>
        <v>2170755426</v>
      </c>
      <c r="F2241" s="2" t="s">
        <v>17</v>
      </c>
      <c r="G2241" s="2" t="s">
        <v>18</v>
      </c>
      <c r="H2241" s="2" t="s">
        <v>18</v>
      </c>
      <c r="I2241" s="2" t="s">
        <v>48</v>
      </c>
      <c r="J2241" s="2" t="s">
        <v>49</v>
      </c>
      <c r="K2241" s="2" t="s">
        <v>1506</v>
      </c>
      <c r="L2241" s="3">
        <v>0.4375</v>
      </c>
      <c r="M2241" s="2" t="s">
        <v>1649</v>
      </c>
      <c r="N2241" s="2" t="s">
        <v>500</v>
      </c>
      <c r="O2241" s="2"/>
    </row>
    <row r="2242" spans="1:15" x14ac:dyDescent="0.25">
      <c r="A2242" s="2" t="s">
        <v>15</v>
      </c>
      <c r="B2242" s="2" t="str">
        <f>"FES1162770356"</f>
        <v>FES1162770356</v>
      </c>
      <c r="C2242" s="2" t="s">
        <v>1353</v>
      </c>
      <c r="D2242" s="2">
        <v>1</v>
      </c>
      <c r="E2242" s="2" t="str">
        <f>"2170757643"</f>
        <v>2170757643</v>
      </c>
      <c r="F2242" s="2" t="s">
        <v>17</v>
      </c>
      <c r="G2242" s="2" t="s">
        <v>18</v>
      </c>
      <c r="H2242" s="2" t="s">
        <v>18</v>
      </c>
      <c r="I2242" s="2" t="s">
        <v>329</v>
      </c>
      <c r="J2242" s="2" t="s">
        <v>457</v>
      </c>
      <c r="K2242" s="2" t="s">
        <v>1506</v>
      </c>
      <c r="L2242" s="3">
        <v>0.43055555555555558</v>
      </c>
      <c r="M2242" s="2" t="s">
        <v>1650</v>
      </c>
      <c r="N2242" s="2" t="s">
        <v>500</v>
      </c>
      <c r="O2242" s="2"/>
    </row>
    <row r="2243" spans="1:15" x14ac:dyDescent="0.25">
      <c r="A2243" s="2" t="s">
        <v>15</v>
      </c>
      <c r="B2243" s="2" t="str">
        <f>"FES1162770365"</f>
        <v>FES1162770365</v>
      </c>
      <c r="C2243" s="2" t="s">
        <v>1353</v>
      </c>
      <c r="D2243" s="2">
        <v>1</v>
      </c>
      <c r="E2243" s="2" t="str">
        <f>"2170757657"</f>
        <v>2170757657</v>
      </c>
      <c r="F2243" s="2" t="s">
        <v>17</v>
      </c>
      <c r="G2243" s="2" t="s">
        <v>18</v>
      </c>
      <c r="H2243" s="2" t="s">
        <v>657</v>
      </c>
      <c r="I2243" s="2" t="s">
        <v>1651</v>
      </c>
      <c r="J2243" s="2" t="s">
        <v>53</v>
      </c>
      <c r="K2243" s="2" t="s">
        <v>1513</v>
      </c>
      <c r="L2243" s="3">
        <v>0.4375</v>
      </c>
      <c r="M2243" s="2" t="s">
        <v>1652</v>
      </c>
      <c r="N2243" s="2" t="s">
        <v>500</v>
      </c>
      <c r="O2243" s="2"/>
    </row>
    <row r="2244" spans="1:15" x14ac:dyDescent="0.25">
      <c r="A2244" s="2" t="s">
        <v>15</v>
      </c>
      <c r="B2244" s="2" t="str">
        <f>"FES1162769514"</f>
        <v>FES1162769514</v>
      </c>
      <c r="C2244" s="2" t="s">
        <v>1353</v>
      </c>
      <c r="D2244" s="2">
        <v>1</v>
      </c>
      <c r="E2244" s="2" t="str">
        <f>"2170755512"</f>
        <v>2170755512</v>
      </c>
      <c r="F2244" s="2" t="s">
        <v>17</v>
      </c>
      <c r="G2244" s="2" t="s">
        <v>18</v>
      </c>
      <c r="H2244" s="2" t="s">
        <v>19</v>
      </c>
      <c r="I2244" s="2" t="s">
        <v>130</v>
      </c>
      <c r="J2244" s="2" t="s">
        <v>131</v>
      </c>
      <c r="K2244" s="2" t="s">
        <v>1506</v>
      </c>
      <c r="L2244" s="3">
        <v>0.4375</v>
      </c>
      <c r="M2244" s="2" t="s">
        <v>1624</v>
      </c>
      <c r="N2244" s="2" t="s">
        <v>500</v>
      </c>
      <c r="O2244" s="2"/>
    </row>
    <row r="2245" spans="1:15" x14ac:dyDescent="0.25">
      <c r="A2245" s="2" t="s">
        <v>15</v>
      </c>
      <c r="B2245" s="2" t="str">
        <f>"FES1162770359"</f>
        <v>FES1162770359</v>
      </c>
      <c r="C2245" s="2" t="s">
        <v>1353</v>
      </c>
      <c r="D2245" s="2">
        <v>1</v>
      </c>
      <c r="E2245" s="2" t="str">
        <f>"2170757617"</f>
        <v>2170757617</v>
      </c>
      <c r="F2245" s="2" t="s">
        <v>17</v>
      </c>
      <c r="G2245" s="2" t="s">
        <v>18</v>
      </c>
      <c r="H2245" s="2" t="s">
        <v>88</v>
      </c>
      <c r="I2245" s="2" t="s">
        <v>109</v>
      </c>
      <c r="J2245" s="2" t="s">
        <v>779</v>
      </c>
      <c r="K2245" s="2" t="s">
        <v>1506</v>
      </c>
      <c r="L2245" s="3">
        <v>0.4236111111111111</v>
      </c>
      <c r="M2245" s="2" t="s">
        <v>1653</v>
      </c>
      <c r="N2245" s="2" t="s">
        <v>500</v>
      </c>
      <c r="O2245" s="2"/>
    </row>
    <row r="2246" spans="1:15" x14ac:dyDescent="0.25">
      <c r="A2246" s="2" t="s">
        <v>15</v>
      </c>
      <c r="B2246" s="2" t="str">
        <f>"FES1162770362"</f>
        <v>FES1162770362</v>
      </c>
      <c r="C2246" s="2" t="s">
        <v>1353</v>
      </c>
      <c r="D2246" s="2">
        <v>1</v>
      </c>
      <c r="E2246" s="2" t="str">
        <f>"2170757653"</f>
        <v>2170757653</v>
      </c>
      <c r="F2246" s="2" t="s">
        <v>17</v>
      </c>
      <c r="G2246" s="2" t="s">
        <v>18</v>
      </c>
      <c r="H2246" s="2" t="s">
        <v>88</v>
      </c>
      <c r="I2246" s="2" t="s">
        <v>109</v>
      </c>
      <c r="J2246" s="2" t="s">
        <v>1320</v>
      </c>
      <c r="K2246" s="2" t="s">
        <v>1506</v>
      </c>
      <c r="L2246" s="3">
        <v>0.41319444444444442</v>
      </c>
      <c r="M2246" s="2" t="s">
        <v>1654</v>
      </c>
      <c r="N2246" s="2" t="s">
        <v>500</v>
      </c>
      <c r="O2246" s="2"/>
    </row>
    <row r="2247" spans="1:15" x14ac:dyDescent="0.25">
      <c r="A2247" s="2" t="s">
        <v>15</v>
      </c>
      <c r="B2247" s="2" t="str">
        <f>"FES1162769871"</f>
        <v>FES1162769871</v>
      </c>
      <c r="C2247" s="2" t="s">
        <v>1353</v>
      </c>
      <c r="D2247" s="2">
        <v>1</v>
      </c>
      <c r="E2247" s="2" t="str">
        <f>"2170757151"</f>
        <v>2170757151</v>
      </c>
      <c r="F2247" s="2" t="s">
        <v>17</v>
      </c>
      <c r="G2247" s="2" t="s">
        <v>18</v>
      </c>
      <c r="H2247" s="2" t="s">
        <v>18</v>
      </c>
      <c r="I2247" s="2" t="s">
        <v>46</v>
      </c>
      <c r="J2247" s="2" t="s">
        <v>168</v>
      </c>
      <c r="K2247" s="2" t="s">
        <v>1513</v>
      </c>
      <c r="L2247" s="3">
        <v>0.4201388888888889</v>
      </c>
      <c r="M2247" s="2" t="s">
        <v>502</v>
      </c>
      <c r="N2247" s="2" t="s">
        <v>500</v>
      </c>
      <c r="O2247" s="2"/>
    </row>
    <row r="2248" spans="1:15" x14ac:dyDescent="0.25">
      <c r="A2248" s="2" t="s">
        <v>15</v>
      </c>
      <c r="B2248" s="2" t="str">
        <f>"FES1162769991"</f>
        <v>FES1162769991</v>
      </c>
      <c r="C2248" s="2" t="s">
        <v>1353</v>
      </c>
      <c r="D2248" s="2">
        <v>1</v>
      </c>
      <c r="E2248" s="2" t="str">
        <f>"2170756553"</f>
        <v>2170756553</v>
      </c>
      <c r="F2248" s="2" t="s">
        <v>17</v>
      </c>
      <c r="G2248" s="2" t="s">
        <v>18</v>
      </c>
      <c r="H2248" s="2" t="s">
        <v>206</v>
      </c>
      <c r="I2248" s="2" t="s">
        <v>329</v>
      </c>
      <c r="J2248" s="2" t="s">
        <v>1028</v>
      </c>
      <c r="K2248" s="2" t="s">
        <v>1506</v>
      </c>
      <c r="L2248" s="3">
        <v>0.43055555555555558</v>
      </c>
      <c r="M2248" s="2" t="s">
        <v>1086</v>
      </c>
      <c r="N2248" s="2" t="s">
        <v>500</v>
      </c>
      <c r="O2248" s="2"/>
    </row>
    <row r="2249" spans="1:15" x14ac:dyDescent="0.25">
      <c r="A2249" s="2" t="s">
        <v>15</v>
      </c>
      <c r="B2249" s="2" t="str">
        <f>"FES1162770012"</f>
        <v>FES1162770012</v>
      </c>
      <c r="C2249" s="2" t="s">
        <v>1353</v>
      </c>
      <c r="D2249" s="2">
        <v>1</v>
      </c>
      <c r="E2249" s="2" t="str">
        <f>"2170757237"</f>
        <v>2170757237</v>
      </c>
      <c r="F2249" s="2" t="s">
        <v>17</v>
      </c>
      <c r="G2249" s="2" t="s">
        <v>18</v>
      </c>
      <c r="H2249" s="2" t="s">
        <v>18</v>
      </c>
      <c r="I2249" s="2" t="s">
        <v>63</v>
      </c>
      <c r="J2249" s="2" t="s">
        <v>93</v>
      </c>
      <c r="K2249" s="2" t="s">
        <v>1506</v>
      </c>
      <c r="L2249" s="3">
        <v>0.38125000000000003</v>
      </c>
      <c r="M2249" s="2" t="s">
        <v>1655</v>
      </c>
      <c r="N2249" s="2" t="s">
        <v>500</v>
      </c>
      <c r="O2249" s="2"/>
    </row>
    <row r="2250" spans="1:15" x14ac:dyDescent="0.25">
      <c r="A2250" s="2" t="s">
        <v>15</v>
      </c>
      <c r="B2250" s="2" t="str">
        <f>"FES1162770041"</f>
        <v>FES1162770041</v>
      </c>
      <c r="C2250" s="2" t="s">
        <v>1353</v>
      </c>
      <c r="D2250" s="2">
        <v>1</v>
      </c>
      <c r="E2250" s="2" t="str">
        <f>"2170757266"</f>
        <v>2170757266</v>
      </c>
      <c r="F2250" s="2" t="s">
        <v>17</v>
      </c>
      <c r="G2250" s="2" t="s">
        <v>18</v>
      </c>
      <c r="H2250" s="2" t="s">
        <v>18</v>
      </c>
      <c r="I2250" s="2" t="s">
        <v>57</v>
      </c>
      <c r="J2250" s="2" t="s">
        <v>760</v>
      </c>
      <c r="K2250" s="2" t="s">
        <v>1506</v>
      </c>
      <c r="L2250" s="3">
        <v>0.27916666666666667</v>
      </c>
      <c r="M2250" s="2" t="s">
        <v>936</v>
      </c>
      <c r="N2250" s="2" t="s">
        <v>500</v>
      </c>
      <c r="O2250" s="2"/>
    </row>
    <row r="2251" spans="1:15" x14ac:dyDescent="0.25">
      <c r="A2251" s="2" t="s">
        <v>15</v>
      </c>
      <c r="B2251" s="2" t="str">
        <f>"FES1162770051"</f>
        <v>FES1162770051</v>
      </c>
      <c r="C2251" s="2" t="s">
        <v>1353</v>
      </c>
      <c r="D2251" s="2">
        <v>1</v>
      </c>
      <c r="E2251" s="2" t="str">
        <f>"2170757283"</f>
        <v>2170757283</v>
      </c>
      <c r="F2251" s="2" t="s">
        <v>17</v>
      </c>
      <c r="G2251" s="2" t="s">
        <v>18</v>
      </c>
      <c r="H2251" s="2" t="s">
        <v>18</v>
      </c>
      <c r="I2251" s="2" t="s">
        <v>50</v>
      </c>
      <c r="J2251" s="2" t="s">
        <v>1656</v>
      </c>
      <c r="K2251" s="2" t="s">
        <v>1506</v>
      </c>
      <c r="L2251" s="3">
        <v>0.33333333333333331</v>
      </c>
      <c r="M2251" s="2" t="s">
        <v>1657</v>
      </c>
      <c r="N2251" s="2" t="s">
        <v>500</v>
      </c>
      <c r="O2251" s="2"/>
    </row>
    <row r="2252" spans="1:15" x14ac:dyDescent="0.25">
      <c r="A2252" s="2" t="s">
        <v>15</v>
      </c>
      <c r="B2252" s="2" t="str">
        <f>"FES1162770065"</f>
        <v>FES1162770065</v>
      </c>
      <c r="C2252" s="2" t="s">
        <v>1353</v>
      </c>
      <c r="D2252" s="2">
        <v>1</v>
      </c>
      <c r="E2252" s="2" t="str">
        <f>"2170757298"</f>
        <v>2170757298</v>
      </c>
      <c r="F2252" s="2" t="s">
        <v>17</v>
      </c>
      <c r="G2252" s="2" t="s">
        <v>18</v>
      </c>
      <c r="H2252" s="2" t="s">
        <v>206</v>
      </c>
      <c r="I2252" s="2" t="s">
        <v>105</v>
      </c>
      <c r="J2252" s="2" t="s">
        <v>793</v>
      </c>
      <c r="K2252" s="2" t="s">
        <v>1506</v>
      </c>
      <c r="L2252" s="3">
        <v>0.43055555555555558</v>
      </c>
      <c r="M2252" s="2" t="s">
        <v>392</v>
      </c>
      <c r="N2252" s="2" t="s">
        <v>500</v>
      </c>
      <c r="O2252" s="2"/>
    </row>
    <row r="2253" spans="1:15" x14ac:dyDescent="0.25">
      <c r="A2253" s="2" t="s">
        <v>15</v>
      </c>
      <c r="B2253" s="2" t="str">
        <f>"FES1162770070"</f>
        <v>FES1162770070</v>
      </c>
      <c r="C2253" s="2" t="s">
        <v>1353</v>
      </c>
      <c r="D2253" s="2">
        <v>1</v>
      </c>
      <c r="E2253" s="2" t="str">
        <f>"2170757309"</f>
        <v>2170757309</v>
      </c>
      <c r="F2253" s="2" t="s">
        <v>17</v>
      </c>
      <c r="G2253" s="2" t="s">
        <v>18</v>
      </c>
      <c r="H2253" s="2" t="s">
        <v>206</v>
      </c>
      <c r="I2253" s="2" t="s">
        <v>105</v>
      </c>
      <c r="J2253" s="2" t="s">
        <v>793</v>
      </c>
      <c r="K2253" s="2" t="s">
        <v>1506</v>
      </c>
      <c r="L2253" s="3">
        <v>0.41666666666666669</v>
      </c>
      <c r="M2253" s="2" t="s">
        <v>392</v>
      </c>
      <c r="N2253" s="2" t="s">
        <v>500</v>
      </c>
      <c r="O2253" s="2"/>
    </row>
    <row r="2254" spans="1:15" x14ac:dyDescent="0.25">
      <c r="A2254" s="2" t="s">
        <v>15</v>
      </c>
      <c r="B2254" s="2" t="str">
        <f>"FES1162770374"</f>
        <v>FES1162770374</v>
      </c>
      <c r="C2254" s="2" t="s">
        <v>1353</v>
      </c>
      <c r="D2254" s="2">
        <v>1</v>
      </c>
      <c r="E2254" s="2" t="str">
        <f>"2170757175"</f>
        <v>2170757175</v>
      </c>
      <c r="F2254" s="2" t="s">
        <v>17</v>
      </c>
      <c r="G2254" s="2" t="s">
        <v>18</v>
      </c>
      <c r="H2254" s="2" t="s">
        <v>33</v>
      </c>
      <c r="I2254" s="2" t="s">
        <v>34</v>
      </c>
      <c r="J2254" s="2" t="s">
        <v>400</v>
      </c>
      <c r="K2254" s="2" t="s">
        <v>1506</v>
      </c>
      <c r="L2254" s="3">
        <v>0.43333333333333335</v>
      </c>
      <c r="M2254" s="2" t="s">
        <v>1658</v>
      </c>
      <c r="N2254" s="2" t="s">
        <v>500</v>
      </c>
      <c r="O2254" s="2"/>
    </row>
    <row r="2255" spans="1:15" x14ac:dyDescent="0.25">
      <c r="A2255" s="2" t="s">
        <v>15</v>
      </c>
      <c r="B2255" s="2" t="str">
        <f>"FES1162769931"</f>
        <v>FES1162769931</v>
      </c>
      <c r="C2255" s="2" t="s">
        <v>1353</v>
      </c>
      <c r="D2255" s="2">
        <v>1</v>
      </c>
      <c r="E2255" s="2" t="str">
        <f>"2170755280"</f>
        <v>2170755280</v>
      </c>
      <c r="F2255" s="2" t="s">
        <v>17</v>
      </c>
      <c r="G2255" s="2" t="s">
        <v>18</v>
      </c>
      <c r="H2255" s="2" t="s">
        <v>88</v>
      </c>
      <c r="I2255" s="2" t="s">
        <v>109</v>
      </c>
      <c r="J2255" s="2" t="s">
        <v>110</v>
      </c>
      <c r="K2255" s="2" t="s">
        <v>1506</v>
      </c>
      <c r="L2255" s="3">
        <v>0.375</v>
      </c>
      <c r="M2255" s="2" t="s">
        <v>1659</v>
      </c>
      <c r="N2255" s="2" t="s">
        <v>500</v>
      </c>
      <c r="O2255" s="2"/>
    </row>
    <row r="2256" spans="1:15" x14ac:dyDescent="0.25">
      <c r="A2256" s="2" t="s">
        <v>15</v>
      </c>
      <c r="B2256" s="2" t="str">
        <f>"FES1162770062"</f>
        <v>FES1162770062</v>
      </c>
      <c r="C2256" s="2" t="s">
        <v>1353</v>
      </c>
      <c r="D2256" s="2">
        <v>1</v>
      </c>
      <c r="E2256" s="2" t="str">
        <f>"2170757294"</f>
        <v>2170757294</v>
      </c>
      <c r="F2256" s="2" t="s">
        <v>17</v>
      </c>
      <c r="G2256" s="2" t="s">
        <v>18</v>
      </c>
      <c r="H2256" s="2" t="s">
        <v>18</v>
      </c>
      <c r="I2256" s="2" t="s">
        <v>63</v>
      </c>
      <c r="J2256" s="2" t="s">
        <v>93</v>
      </c>
      <c r="K2256" s="2" t="s">
        <v>1506</v>
      </c>
      <c r="L2256" s="3">
        <v>0.38750000000000001</v>
      </c>
      <c r="M2256" s="2" t="s">
        <v>1660</v>
      </c>
      <c r="N2256" s="2" t="s">
        <v>500</v>
      </c>
      <c r="O2256" s="2"/>
    </row>
    <row r="2257" spans="1:15" x14ac:dyDescent="0.25">
      <c r="A2257" s="2" t="s">
        <v>15</v>
      </c>
      <c r="B2257" s="2" t="str">
        <f>"FES1162770068"</f>
        <v>FES1162770068</v>
      </c>
      <c r="C2257" s="2" t="s">
        <v>1353</v>
      </c>
      <c r="D2257" s="2">
        <v>1</v>
      </c>
      <c r="E2257" s="2" t="str">
        <f>"2170757307"</f>
        <v>2170757307</v>
      </c>
      <c r="F2257" s="2" t="s">
        <v>17</v>
      </c>
      <c r="G2257" s="2" t="s">
        <v>18</v>
      </c>
      <c r="H2257" s="2" t="s">
        <v>18</v>
      </c>
      <c r="I2257" s="2" t="s">
        <v>46</v>
      </c>
      <c r="J2257" s="2" t="s">
        <v>663</v>
      </c>
      <c r="K2257" s="2" t="s">
        <v>1506</v>
      </c>
      <c r="L2257" s="3">
        <v>0.33680555555555558</v>
      </c>
      <c r="M2257" s="2" t="s">
        <v>1630</v>
      </c>
      <c r="N2257" s="2" t="s">
        <v>500</v>
      </c>
      <c r="O2257" s="2"/>
    </row>
    <row r="2258" spans="1:15" x14ac:dyDescent="0.25">
      <c r="A2258" s="2" t="s">
        <v>15</v>
      </c>
      <c r="B2258" s="2" t="str">
        <f>"FES1162770363"</f>
        <v>FES1162770363</v>
      </c>
      <c r="C2258" s="2" t="s">
        <v>1353</v>
      </c>
      <c r="D2258" s="2">
        <v>1</v>
      </c>
      <c r="E2258" s="2" t="str">
        <f>"2170757655"</f>
        <v>2170757655</v>
      </c>
      <c r="F2258" s="2" t="s">
        <v>17</v>
      </c>
      <c r="G2258" s="2" t="s">
        <v>18</v>
      </c>
      <c r="H2258" s="2" t="s">
        <v>36</v>
      </c>
      <c r="I2258" s="2" t="s">
        <v>37</v>
      </c>
      <c r="J2258" s="2" t="s">
        <v>376</v>
      </c>
      <c r="K2258" s="2" t="s">
        <v>1506</v>
      </c>
      <c r="L2258" s="3">
        <v>0.42708333333333331</v>
      </c>
      <c r="M2258" s="2" t="s">
        <v>702</v>
      </c>
      <c r="N2258" s="2" t="s">
        <v>500</v>
      </c>
      <c r="O2258" s="2"/>
    </row>
    <row r="2259" spans="1:15" x14ac:dyDescent="0.25">
      <c r="A2259" s="2" t="s">
        <v>15</v>
      </c>
      <c r="B2259" s="2" t="str">
        <f>"FES1162770037"</f>
        <v>FES1162770037</v>
      </c>
      <c r="C2259" s="2" t="s">
        <v>1353</v>
      </c>
      <c r="D2259" s="2">
        <v>1</v>
      </c>
      <c r="E2259" s="2" t="str">
        <f>"2170757232"</f>
        <v>2170757232</v>
      </c>
      <c r="F2259" s="2" t="s">
        <v>17</v>
      </c>
      <c r="G2259" s="2" t="s">
        <v>18</v>
      </c>
      <c r="H2259" s="2" t="s">
        <v>36</v>
      </c>
      <c r="I2259" s="2" t="s">
        <v>67</v>
      </c>
      <c r="J2259" s="2" t="s">
        <v>780</v>
      </c>
      <c r="K2259" s="2" t="s">
        <v>1506</v>
      </c>
      <c r="L2259" s="3">
        <v>0.4201388888888889</v>
      </c>
      <c r="M2259" s="2" t="s">
        <v>1661</v>
      </c>
      <c r="N2259" s="2" t="s">
        <v>500</v>
      </c>
      <c r="O2259" s="2"/>
    </row>
    <row r="2260" spans="1:15" x14ac:dyDescent="0.25">
      <c r="A2260" s="2" t="s">
        <v>15</v>
      </c>
      <c r="B2260" s="2" t="str">
        <f>"FES1162770044"</f>
        <v>FES1162770044</v>
      </c>
      <c r="C2260" s="2" t="s">
        <v>1353</v>
      </c>
      <c r="D2260" s="2">
        <v>1</v>
      </c>
      <c r="E2260" s="2" t="str">
        <f>"2170757275"</f>
        <v>2170757275</v>
      </c>
      <c r="F2260" s="2" t="s">
        <v>17</v>
      </c>
      <c r="G2260" s="2" t="s">
        <v>18</v>
      </c>
      <c r="H2260" s="2" t="s">
        <v>33</v>
      </c>
      <c r="I2260" s="2" t="s">
        <v>34</v>
      </c>
      <c r="J2260" s="2" t="s">
        <v>400</v>
      </c>
      <c r="K2260" s="2" t="s">
        <v>1506</v>
      </c>
      <c r="L2260" s="3">
        <v>0.43333333333333335</v>
      </c>
      <c r="M2260" s="2" t="s">
        <v>1662</v>
      </c>
      <c r="N2260" s="2" t="s">
        <v>500</v>
      </c>
      <c r="O2260" s="2"/>
    </row>
    <row r="2261" spans="1:15" x14ac:dyDescent="0.25">
      <c r="A2261" s="2" t="s">
        <v>15</v>
      </c>
      <c r="B2261" s="2" t="str">
        <f>"FES1162770372"</f>
        <v>FES1162770372</v>
      </c>
      <c r="C2261" s="2" t="s">
        <v>1353</v>
      </c>
      <c r="D2261" s="2">
        <v>1</v>
      </c>
      <c r="E2261" s="2" t="str">
        <f>"2170757669"</f>
        <v>2170757669</v>
      </c>
      <c r="F2261" s="2" t="s">
        <v>17</v>
      </c>
      <c r="G2261" s="2" t="s">
        <v>18</v>
      </c>
      <c r="H2261" s="2" t="s">
        <v>78</v>
      </c>
      <c r="I2261" s="2" t="s">
        <v>79</v>
      </c>
      <c r="J2261" s="2" t="s">
        <v>630</v>
      </c>
      <c r="K2261" s="2" t="s">
        <v>1506</v>
      </c>
      <c r="L2261" s="3">
        <v>0.5805555555555556</v>
      </c>
      <c r="M2261" s="2" t="s">
        <v>748</v>
      </c>
      <c r="N2261" s="2" t="s">
        <v>500</v>
      </c>
      <c r="O2261" s="2"/>
    </row>
    <row r="2262" spans="1:15" x14ac:dyDescent="0.25">
      <c r="A2262" s="2" t="s">
        <v>15</v>
      </c>
      <c r="B2262" s="2" t="str">
        <f>"FES1162769928"</f>
        <v>FES1162769928</v>
      </c>
      <c r="C2262" s="2" t="s">
        <v>1353</v>
      </c>
      <c r="D2262" s="2">
        <v>1</v>
      </c>
      <c r="E2262" s="2" t="str">
        <f>"2170755263"</f>
        <v>2170755263</v>
      </c>
      <c r="F2262" s="2" t="s">
        <v>205</v>
      </c>
      <c r="G2262" s="2" t="s">
        <v>206</v>
      </c>
      <c r="H2262" s="2" t="s">
        <v>1116</v>
      </c>
      <c r="I2262" s="2" t="s">
        <v>109</v>
      </c>
      <c r="J2262" s="2" t="s">
        <v>155</v>
      </c>
      <c r="K2262" s="2" t="s">
        <v>1506</v>
      </c>
      <c r="L2262" s="3">
        <v>0.4291666666666667</v>
      </c>
      <c r="M2262" s="2" t="s">
        <v>1663</v>
      </c>
      <c r="N2262" s="2" t="s">
        <v>500</v>
      </c>
      <c r="O2262" s="2"/>
    </row>
    <row r="2263" spans="1:15" x14ac:dyDescent="0.25">
      <c r="A2263" s="2" t="s">
        <v>15</v>
      </c>
      <c r="B2263" s="2" t="str">
        <f>"FES1162769959"</f>
        <v>FES1162769959</v>
      </c>
      <c r="C2263" s="2" t="s">
        <v>1353</v>
      </c>
      <c r="D2263" s="2">
        <v>1</v>
      </c>
      <c r="E2263" s="2" t="str">
        <f>"2170755594"</f>
        <v>2170755594</v>
      </c>
      <c r="F2263" s="2" t="s">
        <v>17</v>
      </c>
      <c r="G2263" s="2" t="s">
        <v>18</v>
      </c>
      <c r="H2263" s="2" t="s">
        <v>18</v>
      </c>
      <c r="I2263" s="2" t="s">
        <v>63</v>
      </c>
      <c r="J2263" s="2" t="s">
        <v>93</v>
      </c>
      <c r="K2263" s="2" t="s">
        <v>1506</v>
      </c>
      <c r="L2263" s="3">
        <v>0.38263888888888892</v>
      </c>
      <c r="M2263" s="2" t="s">
        <v>1660</v>
      </c>
      <c r="N2263" s="2" t="s">
        <v>500</v>
      </c>
      <c r="O2263" s="2"/>
    </row>
    <row r="2264" spans="1:15" x14ac:dyDescent="0.25">
      <c r="A2264" s="2" t="s">
        <v>15</v>
      </c>
      <c r="B2264" s="2" t="str">
        <f>"FES1162769927"</f>
        <v>FES1162769927</v>
      </c>
      <c r="C2264" s="2" t="s">
        <v>1353</v>
      </c>
      <c r="D2264" s="2">
        <v>1</v>
      </c>
      <c r="E2264" s="2" t="str">
        <f>"2170755253"</f>
        <v>2170755253</v>
      </c>
      <c r="F2264" s="2" t="s">
        <v>17</v>
      </c>
      <c r="G2264" s="2" t="s">
        <v>18</v>
      </c>
      <c r="H2264" s="2" t="s">
        <v>18</v>
      </c>
      <c r="I2264" s="2" t="s">
        <v>1664</v>
      </c>
      <c r="J2264" s="2" t="s">
        <v>1665</v>
      </c>
      <c r="K2264" s="2" t="s">
        <v>1506</v>
      </c>
      <c r="L2264" s="3">
        <v>0.41180555555555554</v>
      </c>
      <c r="M2264" s="2" t="s">
        <v>1065</v>
      </c>
      <c r="N2264" s="2" t="s">
        <v>500</v>
      </c>
      <c r="O2264" s="2"/>
    </row>
    <row r="2265" spans="1:15" x14ac:dyDescent="0.25">
      <c r="A2265" s="2" t="s">
        <v>15</v>
      </c>
      <c r="B2265" s="2" t="str">
        <f>"FES1162770373"</f>
        <v>FES1162770373</v>
      </c>
      <c r="C2265" s="2" t="s">
        <v>1353</v>
      </c>
      <c r="D2265" s="2">
        <v>1</v>
      </c>
      <c r="E2265" s="2" t="str">
        <f>"2170756959"</f>
        <v>2170756959</v>
      </c>
      <c r="F2265" s="2" t="s">
        <v>17</v>
      </c>
      <c r="G2265" s="2" t="s">
        <v>18</v>
      </c>
      <c r="H2265" s="2" t="s">
        <v>206</v>
      </c>
      <c r="I2265" s="2" t="s">
        <v>329</v>
      </c>
      <c r="J2265" s="2" t="s">
        <v>1666</v>
      </c>
      <c r="K2265" s="2" t="s">
        <v>1506</v>
      </c>
      <c r="L2265" s="3">
        <v>0.43055555555555558</v>
      </c>
      <c r="M2265" s="2" t="s">
        <v>1562</v>
      </c>
      <c r="N2265" s="2" t="s">
        <v>500</v>
      </c>
      <c r="O2265" s="2"/>
    </row>
    <row r="2266" spans="1:15" x14ac:dyDescent="0.25">
      <c r="A2266" s="2" t="s">
        <v>15</v>
      </c>
      <c r="B2266" s="2" t="str">
        <f>"FES1162770380"</f>
        <v>FES1162770380</v>
      </c>
      <c r="C2266" s="2" t="s">
        <v>1353</v>
      </c>
      <c r="D2266" s="2">
        <v>1</v>
      </c>
      <c r="E2266" s="2" t="str">
        <f>"2170757676"</f>
        <v>2170757676</v>
      </c>
      <c r="F2266" s="2" t="s">
        <v>17</v>
      </c>
      <c r="G2266" s="2" t="s">
        <v>18</v>
      </c>
      <c r="H2266" s="2" t="s">
        <v>36</v>
      </c>
      <c r="I2266" s="2" t="s">
        <v>37</v>
      </c>
      <c r="J2266" s="2" t="s">
        <v>272</v>
      </c>
      <c r="K2266" s="2" t="s">
        <v>1506</v>
      </c>
      <c r="L2266" s="3">
        <v>0.41736111111111113</v>
      </c>
      <c r="M2266" s="2" t="s">
        <v>1667</v>
      </c>
      <c r="N2266" s="2" t="s">
        <v>500</v>
      </c>
      <c r="O2266" s="2"/>
    </row>
    <row r="2267" spans="1:15" x14ac:dyDescent="0.25">
      <c r="A2267" s="2" t="s">
        <v>15</v>
      </c>
      <c r="B2267" s="2" t="str">
        <f>"FES1162770375"</f>
        <v>FES1162770375</v>
      </c>
      <c r="C2267" s="2" t="s">
        <v>1353</v>
      </c>
      <c r="D2267" s="2">
        <v>1</v>
      </c>
      <c r="E2267" s="2" t="str">
        <f>"2170755619"</f>
        <v>2170755619</v>
      </c>
      <c r="F2267" s="2" t="s">
        <v>17</v>
      </c>
      <c r="G2267" s="2" t="s">
        <v>18</v>
      </c>
      <c r="H2267" s="2" t="s">
        <v>36</v>
      </c>
      <c r="I2267" s="2" t="s">
        <v>67</v>
      </c>
      <c r="J2267" s="2" t="s">
        <v>68</v>
      </c>
      <c r="K2267" s="2" t="s">
        <v>1506</v>
      </c>
      <c r="L2267" s="3">
        <v>0.38194444444444442</v>
      </c>
      <c r="M2267" s="2" t="s">
        <v>1668</v>
      </c>
      <c r="N2267" s="2" t="s">
        <v>500</v>
      </c>
      <c r="O2267" s="2"/>
    </row>
    <row r="2268" spans="1:15" x14ac:dyDescent="0.25">
      <c r="A2268" s="2" t="s">
        <v>15</v>
      </c>
      <c r="B2268" s="2" t="str">
        <f>"FES1162770383"</f>
        <v>FES1162770383</v>
      </c>
      <c r="C2268" s="2" t="s">
        <v>1353</v>
      </c>
      <c r="D2268" s="2">
        <v>1</v>
      </c>
      <c r="E2268" s="2" t="str">
        <f>"2170757681"</f>
        <v>2170757681</v>
      </c>
      <c r="F2268" s="2" t="s">
        <v>17</v>
      </c>
      <c r="G2268" s="2" t="s">
        <v>18</v>
      </c>
      <c r="H2268" s="2" t="s">
        <v>18</v>
      </c>
      <c r="I2268" s="2" t="s">
        <v>57</v>
      </c>
      <c r="J2268" s="2" t="s">
        <v>903</v>
      </c>
      <c r="K2268" s="2" t="s">
        <v>1506</v>
      </c>
      <c r="L2268" s="3">
        <v>0.31805555555555554</v>
      </c>
      <c r="M2268" s="2" t="s">
        <v>1211</v>
      </c>
      <c r="N2268" s="2" t="s">
        <v>500</v>
      </c>
      <c r="O2268" s="2"/>
    </row>
    <row r="2269" spans="1:15" x14ac:dyDescent="0.25">
      <c r="A2269" s="2" t="s">
        <v>15</v>
      </c>
      <c r="B2269" s="2" t="str">
        <f>"FES1162770021"</f>
        <v>FES1162770021</v>
      </c>
      <c r="C2269" s="2" t="s">
        <v>1353</v>
      </c>
      <c r="D2269" s="2">
        <v>1</v>
      </c>
      <c r="E2269" s="2" t="str">
        <f>"2170757250"</f>
        <v>2170757250</v>
      </c>
      <c r="F2269" s="2" t="s">
        <v>17</v>
      </c>
      <c r="G2269" s="2" t="s">
        <v>18</v>
      </c>
      <c r="H2269" s="2" t="s">
        <v>18</v>
      </c>
      <c r="I2269" s="2" t="s">
        <v>57</v>
      </c>
      <c r="J2269" s="2" t="s">
        <v>1669</v>
      </c>
      <c r="K2269" s="2" t="s">
        <v>1506</v>
      </c>
      <c r="L2269" s="3">
        <v>0.35347222222222219</v>
      </c>
      <c r="M2269" s="2" t="s">
        <v>563</v>
      </c>
      <c r="N2269" s="2" t="s">
        <v>500</v>
      </c>
      <c r="O2269" s="2"/>
    </row>
    <row r="2270" spans="1:15" x14ac:dyDescent="0.25">
      <c r="A2270" s="2" t="s">
        <v>15</v>
      </c>
      <c r="B2270" s="2" t="str">
        <f>"FES1162770367"</f>
        <v>FES1162770367</v>
      </c>
      <c r="C2270" s="2" t="s">
        <v>1353</v>
      </c>
      <c r="D2270" s="2">
        <v>1</v>
      </c>
      <c r="E2270" s="2" t="str">
        <f>"2170755207"</f>
        <v>2170755207</v>
      </c>
      <c r="F2270" s="2" t="s">
        <v>17</v>
      </c>
      <c r="G2270" s="2" t="s">
        <v>18</v>
      </c>
      <c r="H2270" s="2" t="s">
        <v>18</v>
      </c>
      <c r="I2270" s="2" t="s">
        <v>63</v>
      </c>
      <c r="J2270" s="2" t="s">
        <v>1670</v>
      </c>
      <c r="K2270" s="2" t="s">
        <v>1506</v>
      </c>
      <c r="L2270" s="3">
        <v>0.3833333333333333</v>
      </c>
      <c r="M2270" s="2" t="s">
        <v>210</v>
      </c>
      <c r="N2270" s="2" t="s">
        <v>500</v>
      </c>
      <c r="O2270" s="2"/>
    </row>
    <row r="2271" spans="1:15" x14ac:dyDescent="0.25">
      <c r="A2271" s="2" t="s">
        <v>15</v>
      </c>
      <c r="B2271" s="2" t="str">
        <f>"FES1162769965"</f>
        <v>FES1162769965</v>
      </c>
      <c r="C2271" s="2" t="s">
        <v>1353</v>
      </c>
      <c r="D2271" s="2">
        <v>1</v>
      </c>
      <c r="E2271" s="2" t="str">
        <f>"2170755614"</f>
        <v>2170755614</v>
      </c>
      <c r="F2271" s="2" t="s">
        <v>17</v>
      </c>
      <c r="G2271" s="2" t="s">
        <v>18</v>
      </c>
      <c r="H2271" s="2" t="s">
        <v>18</v>
      </c>
      <c r="I2271" s="2" t="s">
        <v>57</v>
      </c>
      <c r="J2271" s="2" t="s">
        <v>1671</v>
      </c>
      <c r="K2271" s="2" t="s">
        <v>1506</v>
      </c>
      <c r="L2271" s="3">
        <v>0.34166666666666662</v>
      </c>
      <c r="M2271" s="2" t="s">
        <v>1672</v>
      </c>
      <c r="N2271" s="2" t="s">
        <v>500</v>
      </c>
      <c r="O2271" s="2"/>
    </row>
    <row r="2272" spans="1:15" x14ac:dyDescent="0.25">
      <c r="A2272" s="2" t="s">
        <v>15</v>
      </c>
      <c r="B2272" s="2" t="str">
        <f>"FES1162770066"</f>
        <v>FES1162770066</v>
      </c>
      <c r="C2272" s="2" t="s">
        <v>1353</v>
      </c>
      <c r="D2272" s="2">
        <v>1</v>
      </c>
      <c r="E2272" s="2" t="str">
        <f>"2170757300"</f>
        <v>2170757300</v>
      </c>
      <c r="F2272" s="2" t="s">
        <v>17</v>
      </c>
      <c r="G2272" s="2" t="s">
        <v>18</v>
      </c>
      <c r="H2272" s="2" t="s">
        <v>18</v>
      </c>
      <c r="I2272" s="2" t="s">
        <v>63</v>
      </c>
      <c r="J2272" s="2" t="s">
        <v>1673</v>
      </c>
      <c r="K2272" s="2" t="s">
        <v>1506</v>
      </c>
      <c r="L2272" s="3">
        <v>0.35694444444444445</v>
      </c>
      <c r="M2272" s="2" t="s">
        <v>1371</v>
      </c>
      <c r="N2272" s="2" t="s">
        <v>500</v>
      </c>
      <c r="O2272" s="2"/>
    </row>
    <row r="2273" spans="1:15" x14ac:dyDescent="0.25">
      <c r="A2273" s="2" t="s">
        <v>15</v>
      </c>
      <c r="B2273" s="2" t="str">
        <f>"FES1162770243"</f>
        <v>FES1162770243</v>
      </c>
      <c r="C2273" s="2" t="s">
        <v>1353</v>
      </c>
      <c r="D2273" s="2">
        <v>1</v>
      </c>
      <c r="E2273" s="2" t="str">
        <f>"2170756943"</f>
        <v>2170756943</v>
      </c>
      <c r="F2273" s="2" t="s">
        <v>17</v>
      </c>
      <c r="G2273" s="2" t="s">
        <v>18</v>
      </c>
      <c r="H2273" s="2" t="s">
        <v>25</v>
      </c>
      <c r="I2273" s="2" t="s">
        <v>26</v>
      </c>
      <c r="J2273" s="2" t="s">
        <v>1674</v>
      </c>
      <c r="K2273" s="2" t="s">
        <v>1506</v>
      </c>
      <c r="L2273" s="3">
        <v>0.41666666666666669</v>
      </c>
      <c r="M2273" s="2" t="s">
        <v>1675</v>
      </c>
      <c r="N2273" s="2" t="s">
        <v>500</v>
      </c>
      <c r="O2273" s="2"/>
    </row>
    <row r="2274" spans="1:15" x14ac:dyDescent="0.25">
      <c r="A2274" s="2" t="s">
        <v>15</v>
      </c>
      <c r="B2274" s="2" t="str">
        <f>"FES1162769498"</f>
        <v>FES1162769498</v>
      </c>
      <c r="C2274" s="2" t="s">
        <v>1353</v>
      </c>
      <c r="D2274" s="2">
        <v>1</v>
      </c>
      <c r="E2274" s="2" t="str">
        <f>"2170755017"</f>
        <v>2170755017</v>
      </c>
      <c r="F2274" s="2" t="s">
        <v>17</v>
      </c>
      <c r="G2274" s="2" t="s">
        <v>18</v>
      </c>
      <c r="H2274" s="2" t="s">
        <v>484</v>
      </c>
      <c r="I2274" s="2" t="s">
        <v>485</v>
      </c>
      <c r="J2274" s="2" t="s">
        <v>486</v>
      </c>
      <c r="K2274" s="2" t="s">
        <v>1506</v>
      </c>
      <c r="L2274" s="3">
        <v>0.39027777777777778</v>
      </c>
      <c r="M2274" s="2" t="s">
        <v>1053</v>
      </c>
      <c r="N2274" s="2" t="s">
        <v>500</v>
      </c>
      <c r="O2274" s="2"/>
    </row>
    <row r="2275" spans="1:15" x14ac:dyDescent="0.25">
      <c r="A2275" s="2" t="s">
        <v>15</v>
      </c>
      <c r="B2275" s="2" t="str">
        <f>"FES1162770392"</f>
        <v>FES1162770392</v>
      </c>
      <c r="C2275" s="2" t="s">
        <v>1353</v>
      </c>
      <c r="D2275" s="2">
        <v>1</v>
      </c>
      <c r="E2275" s="2" t="str">
        <f>"2170757688"</f>
        <v>2170757688</v>
      </c>
      <c r="F2275" s="2" t="s">
        <v>205</v>
      </c>
      <c r="G2275" s="2" t="s">
        <v>206</v>
      </c>
      <c r="H2275" s="2" t="s">
        <v>206</v>
      </c>
      <c r="I2275" s="2" t="s">
        <v>163</v>
      </c>
      <c r="J2275" s="2" t="s">
        <v>887</v>
      </c>
      <c r="K2275" s="2" t="s">
        <v>1506</v>
      </c>
      <c r="L2275" s="3">
        <v>0.35555555555555557</v>
      </c>
      <c r="M2275" s="2" t="s">
        <v>563</v>
      </c>
      <c r="N2275" s="2" t="s">
        <v>500</v>
      </c>
      <c r="O2275" s="2"/>
    </row>
    <row r="2276" spans="1:15" x14ac:dyDescent="0.25">
      <c r="A2276" s="2" t="s">
        <v>15</v>
      </c>
      <c r="B2276" s="2" t="str">
        <f>"FES1162770386"</f>
        <v>FES1162770386</v>
      </c>
      <c r="C2276" s="2" t="s">
        <v>1353</v>
      </c>
      <c r="D2276" s="2">
        <v>1</v>
      </c>
      <c r="E2276" s="2" t="str">
        <f>"2170757635"</f>
        <v>2170757635</v>
      </c>
      <c r="F2276" s="2" t="s">
        <v>17</v>
      </c>
      <c r="G2276" s="2" t="s">
        <v>18</v>
      </c>
      <c r="H2276" s="2" t="s">
        <v>25</v>
      </c>
      <c r="I2276" s="2" t="s">
        <v>26</v>
      </c>
      <c r="J2276" s="2" t="s">
        <v>27</v>
      </c>
      <c r="K2276" s="2" t="s">
        <v>1506</v>
      </c>
      <c r="L2276" s="3">
        <v>0.41666666666666669</v>
      </c>
      <c r="M2276" s="2" t="s">
        <v>1605</v>
      </c>
      <c r="N2276" s="2" t="s">
        <v>500</v>
      </c>
      <c r="O2276" s="2"/>
    </row>
    <row r="2277" spans="1:15" x14ac:dyDescent="0.25">
      <c r="A2277" s="2" t="s">
        <v>15</v>
      </c>
      <c r="B2277" s="2" t="str">
        <f>"FES1162770364"</f>
        <v>FES1162770364</v>
      </c>
      <c r="C2277" s="2" t="s">
        <v>1353</v>
      </c>
      <c r="D2277" s="2">
        <v>1</v>
      </c>
      <c r="E2277" s="2" t="str">
        <f>"2170757656"</f>
        <v>2170757656</v>
      </c>
      <c r="F2277" s="2" t="s">
        <v>17</v>
      </c>
      <c r="G2277" s="2" t="s">
        <v>18</v>
      </c>
      <c r="H2277" s="2" t="s">
        <v>36</v>
      </c>
      <c r="I2277" s="2" t="s">
        <v>37</v>
      </c>
      <c r="J2277" s="2" t="s">
        <v>376</v>
      </c>
      <c r="K2277" s="2" t="s">
        <v>1506</v>
      </c>
      <c r="L2277" s="3">
        <v>0.42708333333333331</v>
      </c>
      <c r="M2277" s="2" t="s">
        <v>702</v>
      </c>
      <c r="N2277" s="2" t="s">
        <v>500</v>
      </c>
      <c r="O2277" s="2"/>
    </row>
    <row r="2278" spans="1:15" x14ac:dyDescent="0.25">
      <c r="A2278" s="2" t="s">
        <v>15</v>
      </c>
      <c r="B2278" s="2" t="str">
        <f>"FES1162769491"</f>
        <v>FES1162769491</v>
      </c>
      <c r="C2278" s="2" t="s">
        <v>1353</v>
      </c>
      <c r="D2278" s="2">
        <v>1</v>
      </c>
      <c r="E2278" s="2" t="str">
        <f>"2170754912"</f>
        <v>2170754912</v>
      </c>
      <c r="F2278" s="2" t="s">
        <v>17</v>
      </c>
      <c r="G2278" s="2" t="s">
        <v>18</v>
      </c>
      <c r="H2278" s="2" t="s">
        <v>88</v>
      </c>
      <c r="I2278" s="2" t="s">
        <v>109</v>
      </c>
      <c r="J2278" s="2" t="s">
        <v>894</v>
      </c>
      <c r="K2278" s="2" t="s">
        <v>1506</v>
      </c>
      <c r="L2278" s="3">
        <v>0.3923611111111111</v>
      </c>
      <c r="M2278" s="2" t="s">
        <v>1676</v>
      </c>
      <c r="N2278" s="2" t="s">
        <v>500</v>
      </c>
      <c r="O2278" s="2"/>
    </row>
    <row r="2279" spans="1:15" x14ac:dyDescent="0.25">
      <c r="A2279" s="2" t="s">
        <v>15</v>
      </c>
      <c r="B2279" s="2" t="str">
        <f>"FES1162770368"</f>
        <v>FES1162770368</v>
      </c>
      <c r="C2279" s="2" t="s">
        <v>1353</v>
      </c>
      <c r="D2279" s="2">
        <v>1</v>
      </c>
      <c r="E2279" s="2" t="str">
        <f>"2170757632 ."</f>
        <v>2170757632 .</v>
      </c>
      <c r="F2279" s="2" t="s">
        <v>17</v>
      </c>
      <c r="G2279" s="2" t="s">
        <v>18</v>
      </c>
      <c r="H2279" s="2" t="s">
        <v>25</v>
      </c>
      <c r="I2279" s="2" t="s">
        <v>42</v>
      </c>
      <c r="J2279" s="2" t="s">
        <v>639</v>
      </c>
      <c r="K2279" s="2" t="s">
        <v>1506</v>
      </c>
      <c r="L2279" s="3">
        <v>0.51388888888888895</v>
      </c>
      <c r="M2279" s="2" t="s">
        <v>140</v>
      </c>
      <c r="N2279" s="2" t="s">
        <v>500</v>
      </c>
      <c r="O2279" s="2"/>
    </row>
    <row r="2280" spans="1:15" x14ac:dyDescent="0.25">
      <c r="A2280" s="2" t="s">
        <v>15</v>
      </c>
      <c r="B2280" s="2" t="str">
        <f>"FES1162770376"</f>
        <v>FES1162770376</v>
      </c>
      <c r="C2280" s="2" t="s">
        <v>1353</v>
      </c>
      <c r="D2280" s="2">
        <v>1</v>
      </c>
      <c r="E2280" s="2" t="str">
        <f>"2170757336"</f>
        <v>2170757336</v>
      </c>
      <c r="F2280" s="2" t="s">
        <v>17</v>
      </c>
      <c r="G2280" s="2" t="s">
        <v>18</v>
      </c>
      <c r="H2280" s="2" t="s">
        <v>19</v>
      </c>
      <c r="I2280" s="2" t="s">
        <v>111</v>
      </c>
      <c r="J2280" s="2" t="s">
        <v>1677</v>
      </c>
      <c r="K2280" s="2" t="s">
        <v>1506</v>
      </c>
      <c r="L2280" s="3">
        <v>0.35347222222222219</v>
      </c>
      <c r="M2280" s="2" t="s">
        <v>1678</v>
      </c>
      <c r="N2280" s="2" t="s">
        <v>500</v>
      </c>
      <c r="O2280" s="2"/>
    </row>
    <row r="2281" spans="1:15" x14ac:dyDescent="0.25">
      <c r="A2281" s="2" t="s">
        <v>15</v>
      </c>
      <c r="B2281" s="2" t="str">
        <f>"FES1162770385"</f>
        <v>FES1162770385</v>
      </c>
      <c r="C2281" s="2" t="s">
        <v>1353</v>
      </c>
      <c r="D2281" s="2">
        <v>1</v>
      </c>
      <c r="E2281" s="2" t="str">
        <f>"2170757633"</f>
        <v>2170757633</v>
      </c>
      <c r="F2281" s="2" t="s">
        <v>17</v>
      </c>
      <c r="G2281" s="2" t="s">
        <v>18</v>
      </c>
      <c r="H2281" s="2" t="s">
        <v>25</v>
      </c>
      <c r="I2281" s="2" t="s">
        <v>26</v>
      </c>
      <c r="J2281" s="2" t="s">
        <v>27</v>
      </c>
      <c r="K2281" s="2" t="s">
        <v>1506</v>
      </c>
      <c r="L2281" s="3">
        <v>0.41666666666666669</v>
      </c>
      <c r="M2281" s="2" t="s">
        <v>1679</v>
      </c>
      <c r="N2281" s="2" t="s">
        <v>500</v>
      </c>
      <c r="O2281" s="2"/>
    </row>
    <row r="2282" spans="1:15" x14ac:dyDescent="0.25">
      <c r="A2282" s="2" t="s">
        <v>15</v>
      </c>
      <c r="B2282" s="2" t="str">
        <f>"FES1162770378"</f>
        <v>FES1162770378</v>
      </c>
      <c r="C2282" s="2" t="s">
        <v>1353</v>
      </c>
      <c r="D2282" s="2">
        <v>1</v>
      </c>
      <c r="E2282" s="2" t="str">
        <f>"2170757673"</f>
        <v>2170757673</v>
      </c>
      <c r="F2282" s="2" t="s">
        <v>17</v>
      </c>
      <c r="G2282" s="2" t="s">
        <v>18</v>
      </c>
      <c r="H2282" s="2" t="s">
        <v>36</v>
      </c>
      <c r="I2282" s="2" t="s">
        <v>37</v>
      </c>
      <c r="J2282" s="2" t="s">
        <v>55</v>
      </c>
      <c r="K2282" s="2" t="s">
        <v>1506</v>
      </c>
      <c r="L2282" s="3">
        <v>0.42708333333333331</v>
      </c>
      <c r="M2282" s="2" t="s">
        <v>1680</v>
      </c>
      <c r="N2282" s="2" t="s">
        <v>500</v>
      </c>
      <c r="O2282" s="2"/>
    </row>
    <row r="2283" spans="1:15" x14ac:dyDescent="0.25">
      <c r="A2283" s="2" t="s">
        <v>15</v>
      </c>
      <c r="B2283" s="2" t="str">
        <f>"FES1162770381"</f>
        <v>FES1162770381</v>
      </c>
      <c r="C2283" s="2" t="s">
        <v>1353</v>
      </c>
      <c r="D2283" s="2">
        <v>1</v>
      </c>
      <c r="E2283" s="2" t="str">
        <f>"2170757678"</f>
        <v>2170757678</v>
      </c>
      <c r="F2283" s="2" t="s">
        <v>17</v>
      </c>
      <c r="G2283" s="2" t="s">
        <v>18</v>
      </c>
      <c r="H2283" s="2" t="s">
        <v>18</v>
      </c>
      <c r="I2283" s="2" t="s">
        <v>63</v>
      </c>
      <c r="J2283" s="2" t="s">
        <v>93</v>
      </c>
      <c r="K2283" s="2" t="s">
        <v>1506</v>
      </c>
      <c r="L2283" s="3">
        <v>0.38194444444444442</v>
      </c>
      <c r="M2283" s="2" t="s">
        <v>1681</v>
      </c>
      <c r="N2283" s="2" t="s">
        <v>500</v>
      </c>
      <c r="O2283" s="2"/>
    </row>
    <row r="2284" spans="1:15" x14ac:dyDescent="0.25">
      <c r="A2284" s="2" t="s">
        <v>15</v>
      </c>
      <c r="B2284" s="2" t="str">
        <f>"FES1162769949"</f>
        <v>FES1162769949</v>
      </c>
      <c r="C2284" s="2" t="s">
        <v>1353</v>
      </c>
      <c r="D2284" s="2">
        <v>1</v>
      </c>
      <c r="E2284" s="2" t="str">
        <f>"2170755453"</f>
        <v>2170755453</v>
      </c>
      <c r="F2284" s="2" t="s">
        <v>17</v>
      </c>
      <c r="G2284" s="2" t="s">
        <v>18</v>
      </c>
      <c r="H2284" s="2" t="s">
        <v>1303</v>
      </c>
      <c r="I2284" s="2" t="s">
        <v>82</v>
      </c>
      <c r="J2284" s="2" t="s">
        <v>83</v>
      </c>
      <c r="K2284" s="2" t="s">
        <v>1506</v>
      </c>
      <c r="L2284" s="3">
        <v>0.36874999999999997</v>
      </c>
      <c r="M2284" s="2" t="s">
        <v>176</v>
      </c>
      <c r="N2284" s="2" t="s">
        <v>500</v>
      </c>
      <c r="O2284" s="2"/>
    </row>
    <row r="2285" spans="1:15" x14ac:dyDescent="0.25">
      <c r="A2285" s="2" t="s">
        <v>15</v>
      </c>
      <c r="B2285" s="2" t="str">
        <f>"FES1162769999"</f>
        <v>FES1162769999</v>
      </c>
      <c r="C2285" s="2" t="s">
        <v>1353</v>
      </c>
      <c r="D2285" s="2">
        <v>1</v>
      </c>
      <c r="E2285" s="2" t="str">
        <f>"2170757161"</f>
        <v>2170757161</v>
      </c>
      <c r="F2285" s="2" t="s">
        <v>17</v>
      </c>
      <c r="G2285" s="2" t="s">
        <v>18</v>
      </c>
      <c r="H2285" s="2" t="s">
        <v>206</v>
      </c>
      <c r="I2285" s="2" t="s">
        <v>105</v>
      </c>
      <c r="J2285" s="2" t="s">
        <v>309</v>
      </c>
      <c r="K2285" s="2" t="s">
        <v>1506</v>
      </c>
      <c r="L2285" s="3">
        <v>0.43055555555555558</v>
      </c>
      <c r="M2285" s="2" t="s">
        <v>578</v>
      </c>
      <c r="N2285" s="2" t="s">
        <v>500</v>
      </c>
      <c r="O2285" s="2"/>
    </row>
    <row r="2286" spans="1:15" x14ac:dyDescent="0.25">
      <c r="A2286" s="2" t="s">
        <v>15</v>
      </c>
      <c r="B2286" s="2" t="str">
        <f>"FES1162770029"</f>
        <v>FES1162770029</v>
      </c>
      <c r="C2286" s="2" t="s">
        <v>1353</v>
      </c>
      <c r="D2286" s="2">
        <v>1</v>
      </c>
      <c r="E2286" s="2" t="str">
        <f>"2170757256"</f>
        <v>2170757256</v>
      </c>
      <c r="F2286" s="2" t="s">
        <v>17</v>
      </c>
      <c r="G2286" s="2" t="s">
        <v>18</v>
      </c>
      <c r="H2286" s="2" t="s">
        <v>206</v>
      </c>
      <c r="I2286" s="2" t="s">
        <v>63</v>
      </c>
      <c r="J2286" s="2" t="s">
        <v>93</v>
      </c>
      <c r="K2286" s="2" t="s">
        <v>1506</v>
      </c>
      <c r="L2286" s="3">
        <v>0.38263888888888892</v>
      </c>
      <c r="M2286" s="2" t="s">
        <v>1660</v>
      </c>
      <c r="N2286" s="2" t="s">
        <v>500</v>
      </c>
      <c r="O2286" s="2"/>
    </row>
    <row r="2287" spans="1:15" x14ac:dyDescent="0.25">
      <c r="A2287" s="2" t="s">
        <v>15</v>
      </c>
      <c r="B2287" s="2" t="str">
        <f>"FES1162769515"</f>
        <v>FES1162769515</v>
      </c>
      <c r="C2287" s="2" t="s">
        <v>1353</v>
      </c>
      <c r="D2287" s="2">
        <v>1</v>
      </c>
      <c r="E2287" s="2" t="str">
        <f>"2170755524"</f>
        <v>2170755524</v>
      </c>
      <c r="F2287" s="2" t="s">
        <v>17</v>
      </c>
      <c r="G2287" s="2" t="s">
        <v>18</v>
      </c>
      <c r="H2287" s="2" t="s">
        <v>18</v>
      </c>
      <c r="I2287" s="2" t="s">
        <v>52</v>
      </c>
      <c r="J2287" s="2" t="s">
        <v>776</v>
      </c>
      <c r="K2287" s="2" t="s">
        <v>1506</v>
      </c>
      <c r="L2287" s="3">
        <v>0.29166666666666669</v>
      </c>
      <c r="M2287" s="2" t="s">
        <v>840</v>
      </c>
      <c r="N2287" s="2" t="s">
        <v>500</v>
      </c>
      <c r="O2287" s="2"/>
    </row>
    <row r="2288" spans="1:15" x14ac:dyDescent="0.25">
      <c r="A2288" s="2" t="s">
        <v>15</v>
      </c>
      <c r="B2288" s="2" t="str">
        <f>"FES1162770379"</f>
        <v>FES1162770379</v>
      </c>
      <c r="C2288" s="2" t="s">
        <v>1353</v>
      </c>
      <c r="D2288" s="2">
        <v>1</v>
      </c>
      <c r="E2288" s="2" t="str">
        <f>"2170757563"</f>
        <v>2170757563</v>
      </c>
      <c r="F2288" s="2" t="s">
        <v>17</v>
      </c>
      <c r="G2288" s="2" t="s">
        <v>18</v>
      </c>
      <c r="H2288" s="2" t="s">
        <v>18</v>
      </c>
      <c r="I2288" s="2" t="s">
        <v>63</v>
      </c>
      <c r="J2288" s="2" t="s">
        <v>53</v>
      </c>
      <c r="K2288" s="2" t="s">
        <v>1506</v>
      </c>
      <c r="L2288" s="3">
        <v>0.4375</v>
      </c>
      <c r="M2288" s="2" t="s">
        <v>295</v>
      </c>
      <c r="N2288" s="2" t="s">
        <v>500</v>
      </c>
      <c r="O2288" s="2"/>
    </row>
    <row r="2289" spans="1:15" x14ac:dyDescent="0.25">
      <c r="A2289" s="2" t="s">
        <v>15</v>
      </c>
      <c r="B2289" s="2" t="str">
        <f>"FES1162769544"</f>
        <v>FES1162769544</v>
      </c>
      <c r="C2289" s="2" t="s">
        <v>1353</v>
      </c>
      <c r="D2289" s="2">
        <v>1</v>
      </c>
      <c r="E2289" s="2" t="str">
        <f>"2170756516"</f>
        <v>2170756516</v>
      </c>
      <c r="F2289" s="2" t="s">
        <v>17</v>
      </c>
      <c r="G2289" s="2" t="s">
        <v>18</v>
      </c>
      <c r="H2289" s="2" t="s">
        <v>33</v>
      </c>
      <c r="I2289" s="2" t="s">
        <v>34</v>
      </c>
      <c r="J2289" s="2" t="s">
        <v>317</v>
      </c>
      <c r="K2289" s="2" t="s">
        <v>1506</v>
      </c>
      <c r="L2289" s="3">
        <v>0.43333333333333335</v>
      </c>
      <c r="M2289" s="2" t="s">
        <v>1682</v>
      </c>
      <c r="N2289" s="2" t="s">
        <v>500</v>
      </c>
      <c r="O2289" s="2"/>
    </row>
    <row r="2290" spans="1:15" x14ac:dyDescent="0.25">
      <c r="A2290" s="2" t="s">
        <v>15</v>
      </c>
      <c r="B2290" s="2" t="str">
        <f>"FES1162770034"</f>
        <v>FES1162770034</v>
      </c>
      <c r="C2290" s="2" t="s">
        <v>1353</v>
      </c>
      <c r="D2290" s="2">
        <v>1</v>
      </c>
      <c r="E2290" s="2" t="str">
        <f>"2170757267"</f>
        <v>2170757267</v>
      </c>
      <c r="F2290" s="2" t="s">
        <v>17</v>
      </c>
      <c r="G2290" s="2" t="s">
        <v>18</v>
      </c>
      <c r="H2290" s="2" t="s">
        <v>36</v>
      </c>
      <c r="I2290" s="2" t="s">
        <v>37</v>
      </c>
      <c r="J2290" s="2" t="s">
        <v>55</v>
      </c>
      <c r="K2290" s="2" t="s">
        <v>1506</v>
      </c>
      <c r="L2290" s="3">
        <v>0.42708333333333331</v>
      </c>
      <c r="M2290" s="2" t="s">
        <v>1683</v>
      </c>
      <c r="N2290" s="2" t="s">
        <v>500</v>
      </c>
      <c r="O2290" s="2"/>
    </row>
    <row r="2291" spans="1:15" x14ac:dyDescent="0.25">
      <c r="A2291" s="2" t="s">
        <v>15</v>
      </c>
      <c r="B2291" s="2" t="str">
        <f>"FES1162769966"</f>
        <v>FES1162769966</v>
      </c>
      <c r="C2291" s="2" t="s">
        <v>1353</v>
      </c>
      <c r="D2291" s="2">
        <v>1</v>
      </c>
      <c r="E2291" s="2" t="str">
        <f>"2170755622"</f>
        <v>2170755622</v>
      </c>
      <c r="F2291" s="2" t="s">
        <v>17</v>
      </c>
      <c r="G2291" s="2" t="s">
        <v>18</v>
      </c>
      <c r="H2291" s="2" t="s">
        <v>18</v>
      </c>
      <c r="I2291" s="2" t="s">
        <v>63</v>
      </c>
      <c r="J2291" s="2" t="s">
        <v>884</v>
      </c>
      <c r="K2291" s="2" t="s">
        <v>1506</v>
      </c>
      <c r="L2291" s="3">
        <v>0.38958333333333334</v>
      </c>
      <c r="M2291" s="2" t="s">
        <v>955</v>
      </c>
      <c r="N2291" s="2" t="s">
        <v>500</v>
      </c>
      <c r="O2291" s="2"/>
    </row>
    <row r="2292" spans="1:15" x14ac:dyDescent="0.25">
      <c r="A2292" s="2" t="s">
        <v>15</v>
      </c>
      <c r="B2292" s="2" t="str">
        <f>"FES1162770071"</f>
        <v>FES1162770071</v>
      </c>
      <c r="C2292" s="2" t="s">
        <v>1353</v>
      </c>
      <c r="D2292" s="2">
        <v>1</v>
      </c>
      <c r="E2292" s="2" t="str">
        <f>"2170757310"</f>
        <v>2170757310</v>
      </c>
      <c r="F2292" s="2" t="s">
        <v>17</v>
      </c>
      <c r="G2292" s="2" t="s">
        <v>18</v>
      </c>
      <c r="H2292" s="2" t="s">
        <v>18</v>
      </c>
      <c r="I2292" s="2" t="s">
        <v>157</v>
      </c>
      <c r="J2292" s="2" t="s">
        <v>347</v>
      </c>
      <c r="K2292" s="2" t="s">
        <v>1506</v>
      </c>
      <c r="L2292" s="3">
        <v>0.42430555555555555</v>
      </c>
      <c r="M2292" s="2" t="s">
        <v>1351</v>
      </c>
      <c r="N2292" s="2" t="s">
        <v>500</v>
      </c>
      <c r="O2292" s="2"/>
    </row>
    <row r="2293" spans="1:15" x14ac:dyDescent="0.25">
      <c r="A2293" s="2" t="s">
        <v>15</v>
      </c>
      <c r="B2293" s="2" t="str">
        <f>"FES1162769995"</f>
        <v>FES1162769995</v>
      </c>
      <c r="C2293" s="2" t="s">
        <v>1353</v>
      </c>
      <c r="D2293" s="2">
        <v>1</v>
      </c>
      <c r="E2293" s="2" t="str">
        <f>"2170756611"</f>
        <v>2170756611</v>
      </c>
      <c r="F2293" s="2" t="s">
        <v>17</v>
      </c>
      <c r="G2293" s="2" t="s">
        <v>18</v>
      </c>
      <c r="H2293" s="2" t="s">
        <v>88</v>
      </c>
      <c r="I2293" s="2" t="s">
        <v>109</v>
      </c>
      <c r="J2293" s="2" t="s">
        <v>1684</v>
      </c>
      <c r="K2293" s="2" t="s">
        <v>1506</v>
      </c>
      <c r="L2293" s="3">
        <v>0.41736111111111113</v>
      </c>
      <c r="M2293" s="2" t="s">
        <v>354</v>
      </c>
      <c r="N2293" s="2" t="s">
        <v>500</v>
      </c>
      <c r="O2293" s="2"/>
    </row>
    <row r="2294" spans="1:15" x14ac:dyDescent="0.25">
      <c r="A2294" s="2" t="s">
        <v>15</v>
      </c>
      <c r="B2294" s="2" t="str">
        <f>"FES1162770048"</f>
        <v>FES1162770048</v>
      </c>
      <c r="C2294" s="2" t="s">
        <v>1353</v>
      </c>
      <c r="D2294" s="2">
        <v>1</v>
      </c>
      <c r="E2294" s="2" t="str">
        <f>"2170757280"</f>
        <v>2170757280</v>
      </c>
      <c r="F2294" s="2" t="s">
        <v>17</v>
      </c>
      <c r="G2294" s="2" t="s">
        <v>18</v>
      </c>
      <c r="H2294" s="2" t="s">
        <v>18</v>
      </c>
      <c r="I2294" s="2" t="s">
        <v>63</v>
      </c>
      <c r="J2294" s="2" t="s">
        <v>93</v>
      </c>
      <c r="K2294" s="2" t="s">
        <v>1506</v>
      </c>
      <c r="L2294" s="3">
        <v>0.38263888888888892</v>
      </c>
      <c r="M2294" s="2" t="s">
        <v>1685</v>
      </c>
      <c r="N2294" s="2" t="s">
        <v>500</v>
      </c>
      <c r="O2294" s="2"/>
    </row>
    <row r="2295" spans="1:15" x14ac:dyDescent="0.25">
      <c r="A2295" s="2" t="s">
        <v>15</v>
      </c>
      <c r="B2295" s="2" t="str">
        <f>"FES1162769512"</f>
        <v>FES1162769512</v>
      </c>
      <c r="C2295" s="2" t="s">
        <v>1353</v>
      </c>
      <c r="D2295" s="2">
        <v>1</v>
      </c>
      <c r="E2295" s="2" t="str">
        <f>"2170755463"</f>
        <v>2170755463</v>
      </c>
      <c r="F2295" s="2" t="s">
        <v>17</v>
      </c>
      <c r="G2295" s="2" t="s">
        <v>18</v>
      </c>
      <c r="H2295" s="2" t="s">
        <v>18</v>
      </c>
      <c r="I2295" s="2" t="s">
        <v>57</v>
      </c>
      <c r="J2295" s="2" t="s">
        <v>1686</v>
      </c>
      <c r="K2295" s="2" t="s">
        <v>1506</v>
      </c>
      <c r="L2295" s="3">
        <v>0.375</v>
      </c>
      <c r="M2295" s="2" t="s">
        <v>354</v>
      </c>
      <c r="N2295" s="2" t="s">
        <v>500</v>
      </c>
      <c r="O2295" s="2"/>
    </row>
    <row r="2296" spans="1:15" x14ac:dyDescent="0.25">
      <c r="A2296" s="2" t="s">
        <v>15</v>
      </c>
      <c r="B2296" s="2" t="str">
        <f>"FES1162770038"</f>
        <v>FES1162770038</v>
      </c>
      <c r="C2296" s="2" t="s">
        <v>1353</v>
      </c>
      <c r="D2296" s="2">
        <v>1</v>
      </c>
      <c r="E2296" s="2" t="str">
        <f>"2170757238"</f>
        <v>2170757238</v>
      </c>
      <c r="F2296" s="2" t="s">
        <v>17</v>
      </c>
      <c r="G2296" s="2" t="s">
        <v>18</v>
      </c>
      <c r="H2296" s="2" t="s">
        <v>484</v>
      </c>
      <c r="I2296" s="2" t="s">
        <v>675</v>
      </c>
      <c r="J2296" s="2" t="s">
        <v>1323</v>
      </c>
      <c r="K2296" s="2" t="s">
        <v>1506</v>
      </c>
      <c r="L2296" s="3">
        <v>0.41319444444444442</v>
      </c>
      <c r="M2296" s="2" t="s">
        <v>1687</v>
      </c>
      <c r="N2296" s="2" t="s">
        <v>500</v>
      </c>
      <c r="O2296" s="2"/>
    </row>
    <row r="2297" spans="1:15" x14ac:dyDescent="0.25">
      <c r="A2297" s="2" t="s">
        <v>15</v>
      </c>
      <c r="B2297" s="2" t="str">
        <f>"FES1162770391"</f>
        <v>FES1162770391</v>
      </c>
      <c r="C2297" s="2" t="s">
        <v>1353</v>
      </c>
      <c r="D2297" s="2">
        <v>1</v>
      </c>
      <c r="E2297" s="2" t="str">
        <f>"2170757686"</f>
        <v>2170757686</v>
      </c>
      <c r="F2297" s="2" t="s">
        <v>17</v>
      </c>
      <c r="G2297" s="2" t="s">
        <v>18</v>
      </c>
      <c r="H2297" s="2" t="s">
        <v>36</v>
      </c>
      <c r="I2297" s="2" t="s">
        <v>134</v>
      </c>
      <c r="J2297" s="2" t="s">
        <v>135</v>
      </c>
      <c r="K2297" s="2" t="s">
        <v>1506</v>
      </c>
      <c r="L2297" s="3">
        <v>0.51250000000000007</v>
      </c>
      <c r="M2297" s="2" t="s">
        <v>1688</v>
      </c>
      <c r="N2297" s="2" t="s">
        <v>500</v>
      </c>
      <c r="O2297" s="2"/>
    </row>
    <row r="2298" spans="1:15" x14ac:dyDescent="0.25">
      <c r="A2298" s="2" t="s">
        <v>15</v>
      </c>
      <c r="B2298" s="2" t="str">
        <f>"FES1162770086"</f>
        <v>FES1162770086</v>
      </c>
      <c r="C2298" s="2" t="s">
        <v>1353</v>
      </c>
      <c r="D2298" s="2">
        <v>1</v>
      </c>
      <c r="E2298" s="2" t="str">
        <f>"2170757331"</f>
        <v>2170757331</v>
      </c>
      <c r="F2298" s="2" t="s">
        <v>17</v>
      </c>
      <c r="G2298" s="2" t="s">
        <v>18</v>
      </c>
      <c r="H2298" s="2" t="s">
        <v>18</v>
      </c>
      <c r="I2298" s="2" t="s">
        <v>478</v>
      </c>
      <c r="J2298" s="2" t="s">
        <v>498</v>
      </c>
      <c r="K2298" s="2" t="s">
        <v>1506</v>
      </c>
      <c r="L2298" s="3">
        <v>0.39166666666666666</v>
      </c>
      <c r="M2298" s="2" t="s">
        <v>602</v>
      </c>
      <c r="N2298" s="2" t="s">
        <v>500</v>
      </c>
      <c r="O2298" s="2"/>
    </row>
    <row r="2299" spans="1:15" x14ac:dyDescent="0.25">
      <c r="A2299" s="2" t="s">
        <v>15</v>
      </c>
      <c r="B2299" s="2" t="str">
        <f>"FES1162770389"</f>
        <v>FES1162770389</v>
      </c>
      <c r="C2299" s="2" t="s">
        <v>1353</v>
      </c>
      <c r="D2299" s="2">
        <v>1</v>
      </c>
      <c r="E2299" s="2" t="str">
        <f>"2170755790"</f>
        <v>2170755790</v>
      </c>
      <c r="F2299" s="2" t="s">
        <v>17</v>
      </c>
      <c r="G2299" s="2" t="s">
        <v>18</v>
      </c>
      <c r="H2299" s="2" t="s">
        <v>36</v>
      </c>
      <c r="I2299" s="2" t="s">
        <v>134</v>
      </c>
      <c r="J2299" s="2" t="s">
        <v>66</v>
      </c>
      <c r="K2299" s="2" t="s">
        <v>1506</v>
      </c>
      <c r="L2299" s="3">
        <v>0.52916666666666667</v>
      </c>
      <c r="M2299" s="2" t="s">
        <v>1689</v>
      </c>
      <c r="N2299" s="2" t="s">
        <v>500</v>
      </c>
      <c r="O2299" s="2"/>
    </row>
    <row r="2300" spans="1:15" x14ac:dyDescent="0.25">
      <c r="A2300" s="2" t="s">
        <v>15</v>
      </c>
      <c r="B2300" s="2" t="str">
        <f>"FES1162770390"</f>
        <v>FES1162770390</v>
      </c>
      <c r="C2300" s="2" t="s">
        <v>1353</v>
      </c>
      <c r="D2300" s="2">
        <v>1</v>
      </c>
      <c r="E2300" s="2" t="str">
        <f>"2170757677"</f>
        <v>2170757677</v>
      </c>
      <c r="F2300" s="2" t="s">
        <v>17</v>
      </c>
      <c r="G2300" s="2" t="s">
        <v>18</v>
      </c>
      <c r="H2300" s="2" t="s">
        <v>36</v>
      </c>
      <c r="I2300" s="2" t="s">
        <v>37</v>
      </c>
      <c r="J2300" s="2" t="s">
        <v>102</v>
      </c>
      <c r="K2300" s="2" t="s">
        <v>1506</v>
      </c>
      <c r="L2300" s="3">
        <v>0.4055555555555555</v>
      </c>
      <c r="M2300" s="2" t="s">
        <v>1690</v>
      </c>
      <c r="N2300" s="2" t="s">
        <v>500</v>
      </c>
      <c r="O2300" s="2"/>
    </row>
    <row r="2301" spans="1:15" x14ac:dyDescent="0.25">
      <c r="A2301" s="2" t="s">
        <v>15</v>
      </c>
      <c r="B2301" s="2" t="str">
        <f>"FES1162770394"</f>
        <v>FES1162770394</v>
      </c>
      <c r="C2301" s="2" t="s">
        <v>1353</v>
      </c>
      <c r="D2301" s="2">
        <v>1</v>
      </c>
      <c r="E2301" s="2" t="str">
        <f>"2170757671"</f>
        <v>2170757671</v>
      </c>
      <c r="F2301" s="2" t="s">
        <v>17</v>
      </c>
      <c r="G2301" s="2" t="s">
        <v>18</v>
      </c>
      <c r="H2301" s="2" t="s">
        <v>36</v>
      </c>
      <c r="I2301" s="2" t="s">
        <v>37</v>
      </c>
      <c r="J2301" s="2" t="s">
        <v>102</v>
      </c>
      <c r="K2301" s="2" t="s">
        <v>1506</v>
      </c>
      <c r="L2301" s="3">
        <v>0.39166666666666666</v>
      </c>
      <c r="M2301" s="2" t="s">
        <v>1690</v>
      </c>
      <c r="N2301" s="2" t="s">
        <v>500</v>
      </c>
      <c r="O2301" s="2"/>
    </row>
    <row r="2302" spans="1:15" x14ac:dyDescent="0.25">
      <c r="A2302" s="2" t="s">
        <v>15</v>
      </c>
      <c r="B2302" s="2" t="str">
        <f>"FES1162770384"</f>
        <v>FES1162770384</v>
      </c>
      <c r="C2302" s="2" t="s">
        <v>1353</v>
      </c>
      <c r="D2302" s="2">
        <v>1</v>
      </c>
      <c r="E2302" s="2" t="str">
        <f>"2170757682"</f>
        <v>2170757682</v>
      </c>
      <c r="F2302" s="2" t="s">
        <v>17</v>
      </c>
      <c r="G2302" s="2" t="s">
        <v>18</v>
      </c>
      <c r="H2302" s="2" t="s">
        <v>18</v>
      </c>
      <c r="I2302" s="2" t="s">
        <v>57</v>
      </c>
      <c r="J2302" s="2" t="s">
        <v>903</v>
      </c>
      <c r="K2302" s="2" t="s">
        <v>1506</v>
      </c>
      <c r="L2302" s="3">
        <v>0.31805555555555554</v>
      </c>
      <c r="M2302" s="2" t="s">
        <v>1211</v>
      </c>
      <c r="N2302" s="2" t="s">
        <v>500</v>
      </c>
      <c r="O2302" s="2"/>
    </row>
    <row r="2303" spans="1:15" x14ac:dyDescent="0.25">
      <c r="A2303" s="2" t="s">
        <v>15</v>
      </c>
      <c r="B2303" s="2" t="str">
        <f>"FES1162770377"</f>
        <v>FES1162770377</v>
      </c>
      <c r="C2303" s="2" t="s">
        <v>1353</v>
      </c>
      <c r="D2303" s="2">
        <v>1</v>
      </c>
      <c r="E2303" s="2" t="str">
        <f>"2170757672"</f>
        <v>2170757672</v>
      </c>
      <c r="F2303" s="2" t="s">
        <v>17</v>
      </c>
      <c r="G2303" s="2" t="s">
        <v>18</v>
      </c>
      <c r="H2303" s="2" t="s">
        <v>25</v>
      </c>
      <c r="I2303" s="2" t="s">
        <v>42</v>
      </c>
      <c r="J2303" s="2" t="s">
        <v>416</v>
      </c>
      <c r="K2303" s="2" t="s">
        <v>1506</v>
      </c>
      <c r="L2303" s="3">
        <v>0.50347222222222221</v>
      </c>
      <c r="M2303" s="2" t="s">
        <v>517</v>
      </c>
      <c r="N2303" s="2" t="s">
        <v>500</v>
      </c>
      <c r="O2303" s="2"/>
    </row>
    <row r="2304" spans="1:15" x14ac:dyDescent="0.25">
      <c r="A2304" s="2" t="s">
        <v>15</v>
      </c>
      <c r="B2304" s="2" t="str">
        <f>"FES1162770369"</f>
        <v>FES1162770369</v>
      </c>
      <c r="C2304" s="2" t="s">
        <v>1353</v>
      </c>
      <c r="D2304" s="2">
        <v>1</v>
      </c>
      <c r="E2304" s="2" t="str">
        <f>"2170757663 ."</f>
        <v>2170757663 .</v>
      </c>
      <c r="F2304" s="2" t="s">
        <v>17</v>
      </c>
      <c r="G2304" s="2" t="s">
        <v>18</v>
      </c>
      <c r="H2304" s="2" t="s">
        <v>25</v>
      </c>
      <c r="I2304" s="2" t="s">
        <v>26</v>
      </c>
      <c r="J2304" s="2" t="s">
        <v>75</v>
      </c>
      <c r="K2304" s="2" t="s">
        <v>1506</v>
      </c>
      <c r="L2304" s="3">
        <v>0.41666666666666669</v>
      </c>
      <c r="M2304" s="2" t="s">
        <v>1691</v>
      </c>
      <c r="N2304" s="2" t="s">
        <v>500</v>
      </c>
      <c r="O2304" s="2"/>
    </row>
    <row r="2305" spans="1:15" x14ac:dyDescent="0.25">
      <c r="A2305" s="2" t="s">
        <v>15</v>
      </c>
      <c r="B2305" s="2" t="str">
        <f>"FES1162770396"</f>
        <v>FES1162770396</v>
      </c>
      <c r="C2305" s="2" t="s">
        <v>1353</v>
      </c>
      <c r="D2305" s="2">
        <v>1</v>
      </c>
      <c r="E2305" s="2" t="str">
        <f>"2170757695"</f>
        <v>2170757695</v>
      </c>
      <c r="F2305" s="2" t="s">
        <v>17</v>
      </c>
      <c r="G2305" s="2" t="s">
        <v>18</v>
      </c>
      <c r="H2305" s="2" t="s">
        <v>25</v>
      </c>
      <c r="I2305" s="2" t="s">
        <v>42</v>
      </c>
      <c r="J2305" s="2" t="s">
        <v>43</v>
      </c>
      <c r="K2305" s="2" t="s">
        <v>1506</v>
      </c>
      <c r="L2305" s="3">
        <v>0.51944444444444449</v>
      </c>
      <c r="M2305" s="2" t="s">
        <v>180</v>
      </c>
      <c r="N2305" s="2" t="s">
        <v>500</v>
      </c>
      <c r="O2305" s="2"/>
    </row>
    <row r="2306" spans="1:15" x14ac:dyDescent="0.25">
      <c r="A2306" s="2" t="s">
        <v>15</v>
      </c>
      <c r="B2306" s="2" t="str">
        <f>"FES1162769815"</f>
        <v>FES1162769815</v>
      </c>
      <c r="C2306" s="2" t="s">
        <v>1353</v>
      </c>
      <c r="D2306" s="2">
        <v>1</v>
      </c>
      <c r="E2306" s="2" t="str">
        <f>"2170757072"</f>
        <v>2170757072</v>
      </c>
      <c r="F2306" s="2" t="s">
        <v>17</v>
      </c>
      <c r="G2306" s="2" t="s">
        <v>18</v>
      </c>
      <c r="H2306" s="2" t="s">
        <v>25</v>
      </c>
      <c r="I2306" s="2" t="s">
        <v>26</v>
      </c>
      <c r="J2306" s="2" t="s">
        <v>1146</v>
      </c>
      <c r="K2306" s="2" t="s">
        <v>1506</v>
      </c>
      <c r="L2306" s="3">
        <v>0.41666666666666669</v>
      </c>
      <c r="M2306" s="2" t="s">
        <v>1209</v>
      </c>
      <c r="N2306" s="2" t="s">
        <v>500</v>
      </c>
      <c r="O2306" s="2"/>
    </row>
    <row r="2307" spans="1:15" x14ac:dyDescent="0.25">
      <c r="A2307" s="2" t="s">
        <v>15</v>
      </c>
      <c r="B2307" s="2" t="str">
        <f>"FES1162770397"</f>
        <v>FES1162770397</v>
      </c>
      <c r="C2307" s="2" t="s">
        <v>1353</v>
      </c>
      <c r="D2307" s="2">
        <v>1</v>
      </c>
      <c r="E2307" s="2" t="str">
        <f>"2170757696"</f>
        <v>2170757696</v>
      </c>
      <c r="F2307" s="2" t="s">
        <v>17</v>
      </c>
      <c r="G2307" s="2" t="s">
        <v>18</v>
      </c>
      <c r="H2307" s="2" t="s">
        <v>18</v>
      </c>
      <c r="I2307" s="2" t="s">
        <v>478</v>
      </c>
      <c r="J2307" s="2" t="s">
        <v>498</v>
      </c>
      <c r="K2307" s="2" t="s">
        <v>1506</v>
      </c>
      <c r="L2307" s="3">
        <v>0.35000000000000003</v>
      </c>
      <c r="M2307" s="2" t="s">
        <v>602</v>
      </c>
      <c r="N2307" s="2" t="s">
        <v>500</v>
      </c>
      <c r="O2307" s="2"/>
    </row>
    <row r="2308" spans="1:15" x14ac:dyDescent="0.25">
      <c r="A2308" s="2" t="s">
        <v>15</v>
      </c>
      <c r="B2308" s="2" t="str">
        <f>"FES1162770399"</f>
        <v>FES1162770399</v>
      </c>
      <c r="C2308" s="2" t="s">
        <v>1353</v>
      </c>
      <c r="D2308" s="2">
        <v>1</v>
      </c>
      <c r="E2308" s="2" t="str">
        <f>"2170757699"</f>
        <v>2170757699</v>
      </c>
      <c r="F2308" s="2" t="s">
        <v>17</v>
      </c>
      <c r="G2308" s="2" t="s">
        <v>18</v>
      </c>
      <c r="H2308" s="2" t="s">
        <v>25</v>
      </c>
      <c r="I2308" s="2" t="s">
        <v>26</v>
      </c>
      <c r="J2308" s="2" t="s">
        <v>762</v>
      </c>
      <c r="K2308" s="2" t="s">
        <v>1506</v>
      </c>
      <c r="L2308" s="3">
        <v>0.41666666666666669</v>
      </c>
      <c r="M2308" s="2" t="s">
        <v>819</v>
      </c>
      <c r="N2308" s="2" t="s">
        <v>500</v>
      </c>
      <c r="O2308" s="2"/>
    </row>
    <row r="2309" spans="1:15" x14ac:dyDescent="0.25">
      <c r="A2309" s="2" t="s">
        <v>15</v>
      </c>
      <c r="B2309" s="2" t="str">
        <f>"FES1162770393"</f>
        <v>FES1162770393</v>
      </c>
      <c r="C2309" s="2" t="s">
        <v>1353</v>
      </c>
      <c r="D2309" s="2">
        <v>1</v>
      </c>
      <c r="E2309" s="2" t="str">
        <f>"2170757689"</f>
        <v>2170757689</v>
      </c>
      <c r="F2309" s="2" t="s">
        <v>17</v>
      </c>
      <c r="G2309" s="2" t="s">
        <v>18</v>
      </c>
      <c r="H2309" s="2" t="s">
        <v>25</v>
      </c>
      <c r="I2309" s="2" t="s">
        <v>26</v>
      </c>
      <c r="J2309" s="2" t="s">
        <v>75</v>
      </c>
      <c r="K2309" s="2" t="s">
        <v>1506</v>
      </c>
      <c r="L2309" s="3">
        <v>0.41666666666666669</v>
      </c>
      <c r="M2309" s="2" t="s">
        <v>1691</v>
      </c>
      <c r="N2309" s="2" t="s">
        <v>500</v>
      </c>
      <c r="O2309" s="2"/>
    </row>
    <row r="2310" spans="1:15" x14ac:dyDescent="0.25">
      <c r="A2310" s="2" t="s">
        <v>15</v>
      </c>
      <c r="B2310" s="2" t="str">
        <f>"FES1162770559"</f>
        <v>FES1162770559</v>
      </c>
      <c r="C2310" s="2" t="s">
        <v>1506</v>
      </c>
      <c r="D2310" s="2">
        <v>1</v>
      </c>
      <c r="E2310" s="2" t="str">
        <f>"2170757827"</f>
        <v>2170757827</v>
      </c>
      <c r="F2310" s="2" t="s">
        <v>17</v>
      </c>
      <c r="G2310" s="2" t="s">
        <v>18</v>
      </c>
      <c r="H2310" s="2" t="s">
        <v>18</v>
      </c>
      <c r="I2310" s="2" t="s">
        <v>46</v>
      </c>
      <c r="J2310" s="2" t="s">
        <v>470</v>
      </c>
      <c r="K2310" s="2" t="s">
        <v>1513</v>
      </c>
      <c r="L2310" s="3">
        <v>0.30416666666666664</v>
      </c>
      <c r="M2310" s="2" t="s">
        <v>1692</v>
      </c>
      <c r="N2310" s="2" t="s">
        <v>500</v>
      </c>
      <c r="O2310" s="2"/>
    </row>
    <row r="2311" spans="1:15" x14ac:dyDescent="0.25">
      <c r="A2311" s="2" t="s">
        <v>15</v>
      </c>
      <c r="B2311" s="2" t="str">
        <f>"FES1162770568"</f>
        <v>FES1162770568</v>
      </c>
      <c r="C2311" s="2" t="s">
        <v>1506</v>
      </c>
      <c r="D2311" s="2">
        <v>1</v>
      </c>
      <c r="E2311" s="2" t="str">
        <f>"2170757837"</f>
        <v>2170757837</v>
      </c>
      <c r="F2311" s="2" t="s">
        <v>17</v>
      </c>
      <c r="G2311" s="2" t="s">
        <v>18</v>
      </c>
      <c r="H2311" s="2" t="s">
        <v>18</v>
      </c>
      <c r="I2311" s="2" t="s">
        <v>50</v>
      </c>
      <c r="J2311" s="2" t="s">
        <v>1693</v>
      </c>
      <c r="K2311" s="2" t="s">
        <v>1513</v>
      </c>
      <c r="L2311" s="3">
        <v>0.41666666666666669</v>
      </c>
      <c r="M2311" s="2" t="s">
        <v>1694</v>
      </c>
      <c r="N2311" s="2" t="s">
        <v>500</v>
      </c>
      <c r="O2311" s="2"/>
    </row>
    <row r="2312" spans="1:15" x14ac:dyDescent="0.25">
      <c r="A2312" s="2" t="s">
        <v>15</v>
      </c>
      <c r="B2312" s="2" t="str">
        <f>"FES1162770565"</f>
        <v>FES1162770565</v>
      </c>
      <c r="C2312" s="2" t="s">
        <v>1506</v>
      </c>
      <c r="D2312" s="2">
        <v>1</v>
      </c>
      <c r="E2312" s="2" t="str">
        <f>"2170757832"</f>
        <v>2170757832</v>
      </c>
      <c r="F2312" s="2" t="s">
        <v>17</v>
      </c>
      <c r="G2312" s="2" t="s">
        <v>18</v>
      </c>
      <c r="H2312" s="2" t="s">
        <v>88</v>
      </c>
      <c r="I2312" s="2" t="s">
        <v>109</v>
      </c>
      <c r="J2312" s="2" t="s">
        <v>141</v>
      </c>
      <c r="K2312" s="2" t="s">
        <v>1513</v>
      </c>
      <c r="L2312" s="3">
        <v>0.3972222222222222</v>
      </c>
      <c r="M2312" s="2" t="s">
        <v>1695</v>
      </c>
      <c r="N2312" s="2" t="s">
        <v>500</v>
      </c>
      <c r="O2312" s="2"/>
    </row>
    <row r="2313" spans="1:15" x14ac:dyDescent="0.25">
      <c r="A2313" s="2" t="s">
        <v>15</v>
      </c>
      <c r="B2313" s="2" t="str">
        <f>"FES1162770422"</f>
        <v>FES1162770422</v>
      </c>
      <c r="C2313" s="2" t="s">
        <v>1506</v>
      </c>
      <c r="D2313" s="2">
        <v>1</v>
      </c>
      <c r="E2313" s="2" t="str">
        <f>"2170756028"</f>
        <v>2170756028</v>
      </c>
      <c r="F2313" s="2" t="s">
        <v>17</v>
      </c>
      <c r="G2313" s="2" t="s">
        <v>18</v>
      </c>
      <c r="H2313" s="2" t="s">
        <v>88</v>
      </c>
      <c r="I2313" s="2" t="s">
        <v>109</v>
      </c>
      <c r="J2313" s="2" t="s">
        <v>880</v>
      </c>
      <c r="K2313" s="2" t="s">
        <v>1513</v>
      </c>
      <c r="L2313" s="3">
        <v>0.52083333333333337</v>
      </c>
      <c r="M2313" s="2" t="s">
        <v>1471</v>
      </c>
      <c r="N2313" s="2" t="s">
        <v>500</v>
      </c>
      <c r="O2313" s="2"/>
    </row>
    <row r="2314" spans="1:15" x14ac:dyDescent="0.25">
      <c r="A2314" s="2" t="s">
        <v>15</v>
      </c>
      <c r="B2314" s="2" t="str">
        <f>"FES1162770482"</f>
        <v>FES1162770482</v>
      </c>
      <c r="C2314" s="2" t="s">
        <v>1506</v>
      </c>
      <c r="D2314" s="2">
        <v>1</v>
      </c>
      <c r="E2314" s="2" t="str">
        <f>"2170757760"</f>
        <v>2170757760</v>
      </c>
      <c r="F2314" s="2" t="s">
        <v>17</v>
      </c>
      <c r="G2314" s="2" t="s">
        <v>18</v>
      </c>
      <c r="H2314" s="2" t="s">
        <v>25</v>
      </c>
      <c r="I2314" s="2" t="s">
        <v>39</v>
      </c>
      <c r="J2314" s="2" t="s">
        <v>40</v>
      </c>
      <c r="K2314" s="2" t="s">
        <v>1513</v>
      </c>
      <c r="L2314" s="3">
        <v>0.41666666666666669</v>
      </c>
      <c r="M2314" s="2" t="s">
        <v>807</v>
      </c>
      <c r="N2314" s="2" t="s">
        <v>500</v>
      </c>
      <c r="O2314" s="2"/>
    </row>
    <row r="2315" spans="1:15" x14ac:dyDescent="0.25">
      <c r="A2315" s="2" t="s">
        <v>15</v>
      </c>
      <c r="B2315" s="2" t="str">
        <f>"FES1162770479"</f>
        <v>FES1162770479</v>
      </c>
      <c r="C2315" s="2" t="s">
        <v>1506</v>
      </c>
      <c r="D2315" s="2">
        <v>1</v>
      </c>
      <c r="E2315" s="2" t="str">
        <f>"2170757755"</f>
        <v>2170757755</v>
      </c>
      <c r="F2315" s="2" t="s">
        <v>17</v>
      </c>
      <c r="G2315" s="2" t="s">
        <v>18</v>
      </c>
      <c r="H2315" s="2" t="s">
        <v>25</v>
      </c>
      <c r="I2315" s="2" t="s">
        <v>39</v>
      </c>
      <c r="J2315" s="2" t="s">
        <v>161</v>
      </c>
      <c r="K2315" s="2" t="s">
        <v>1513</v>
      </c>
      <c r="L2315" s="3">
        <v>0.41666666666666669</v>
      </c>
      <c r="M2315" s="2" t="s">
        <v>1256</v>
      </c>
      <c r="N2315" s="2" t="s">
        <v>500</v>
      </c>
      <c r="O2315" s="2"/>
    </row>
    <row r="2316" spans="1:15" x14ac:dyDescent="0.25">
      <c r="A2316" s="2" t="s">
        <v>15</v>
      </c>
      <c r="B2316" s="2" t="str">
        <f>"FES1162770487"</f>
        <v>FES1162770487</v>
      </c>
      <c r="C2316" s="2" t="s">
        <v>1506</v>
      </c>
      <c r="D2316" s="2">
        <v>1</v>
      </c>
      <c r="E2316" s="2" t="str">
        <f>"2170757766"</f>
        <v>2170757766</v>
      </c>
      <c r="F2316" s="2" t="s">
        <v>17</v>
      </c>
      <c r="G2316" s="2" t="s">
        <v>18</v>
      </c>
      <c r="H2316" s="2" t="s">
        <v>25</v>
      </c>
      <c r="I2316" s="2" t="s">
        <v>39</v>
      </c>
      <c r="J2316" s="2" t="s">
        <v>161</v>
      </c>
      <c r="K2316" s="2" t="s">
        <v>1513</v>
      </c>
      <c r="L2316" s="3">
        <v>0.41666666666666669</v>
      </c>
      <c r="M2316" s="2" t="s">
        <v>1256</v>
      </c>
      <c r="N2316" s="2" t="s">
        <v>500</v>
      </c>
      <c r="O2316" s="2"/>
    </row>
    <row r="2317" spans="1:15" x14ac:dyDescent="0.25">
      <c r="A2317" s="2" t="s">
        <v>15</v>
      </c>
      <c r="B2317" s="2" t="str">
        <f>"FES1162770446"</f>
        <v>FES1162770446</v>
      </c>
      <c r="C2317" s="2" t="s">
        <v>1506</v>
      </c>
      <c r="D2317" s="2">
        <v>1</v>
      </c>
      <c r="E2317" s="2" t="str">
        <f>"2170770446"</f>
        <v>2170770446</v>
      </c>
      <c r="F2317" s="2" t="s">
        <v>17</v>
      </c>
      <c r="G2317" s="2" t="s">
        <v>18</v>
      </c>
      <c r="H2317" s="2" t="s">
        <v>18</v>
      </c>
      <c r="I2317" s="2" t="s">
        <v>290</v>
      </c>
      <c r="J2317" s="2" t="s">
        <v>458</v>
      </c>
      <c r="K2317" s="2" t="s">
        <v>1513</v>
      </c>
      <c r="L2317" s="3">
        <v>0.375</v>
      </c>
      <c r="M2317" s="2" t="s">
        <v>1696</v>
      </c>
      <c r="N2317" s="2" t="s">
        <v>500</v>
      </c>
      <c r="O2317" s="2"/>
    </row>
    <row r="2318" spans="1:15" x14ac:dyDescent="0.25">
      <c r="A2318" s="2" t="s">
        <v>15</v>
      </c>
      <c r="B2318" s="2" t="str">
        <f>"FES1162770474"</f>
        <v>FES1162770474</v>
      </c>
      <c r="C2318" s="2" t="s">
        <v>1506</v>
      </c>
      <c r="D2318" s="2">
        <v>1</v>
      </c>
      <c r="E2318" s="2" t="str">
        <f>"2170757715"</f>
        <v>2170757715</v>
      </c>
      <c r="F2318" s="2" t="s">
        <v>17</v>
      </c>
      <c r="G2318" s="2" t="s">
        <v>18</v>
      </c>
      <c r="H2318" s="2" t="s">
        <v>18</v>
      </c>
      <c r="I2318" s="2" t="s">
        <v>63</v>
      </c>
      <c r="J2318" s="2" t="s">
        <v>1697</v>
      </c>
      <c r="K2318" s="2" t="s">
        <v>1513</v>
      </c>
      <c r="L2318" s="3">
        <v>0.37777777777777777</v>
      </c>
      <c r="M2318" s="2" t="s">
        <v>354</v>
      </c>
      <c r="N2318" s="2" t="s">
        <v>500</v>
      </c>
      <c r="O2318" s="2"/>
    </row>
    <row r="2319" spans="1:15" x14ac:dyDescent="0.25">
      <c r="A2319" s="2" t="s">
        <v>15</v>
      </c>
      <c r="B2319" s="2" t="str">
        <f>"FES1162770500"</f>
        <v>FES1162770500</v>
      </c>
      <c r="C2319" s="2" t="s">
        <v>1506</v>
      </c>
      <c r="D2319" s="2">
        <v>1</v>
      </c>
      <c r="E2319" s="2" t="str">
        <f>"2170757777"</f>
        <v>2170757777</v>
      </c>
      <c r="F2319" s="2" t="s">
        <v>17</v>
      </c>
      <c r="G2319" s="2" t="s">
        <v>18</v>
      </c>
      <c r="H2319" s="2" t="s">
        <v>18</v>
      </c>
      <c r="I2319" s="2" t="s">
        <v>290</v>
      </c>
      <c r="J2319" s="2" t="s">
        <v>1698</v>
      </c>
      <c r="K2319" s="2" t="s">
        <v>1513</v>
      </c>
      <c r="L2319" s="3">
        <v>0.375</v>
      </c>
      <c r="M2319" s="2" t="s">
        <v>1699</v>
      </c>
      <c r="N2319" s="2" t="s">
        <v>500</v>
      </c>
      <c r="O2319" s="2"/>
    </row>
    <row r="2320" spans="1:15" x14ac:dyDescent="0.25">
      <c r="A2320" s="2" t="s">
        <v>15</v>
      </c>
      <c r="B2320" s="2" t="str">
        <f>"FES1162770497"</f>
        <v>FES1162770497</v>
      </c>
      <c r="C2320" s="2" t="s">
        <v>1506</v>
      </c>
      <c r="D2320" s="2">
        <v>1</v>
      </c>
      <c r="E2320" s="2" t="str">
        <f>"2170757773"</f>
        <v>2170757773</v>
      </c>
      <c r="F2320" s="2" t="s">
        <v>17</v>
      </c>
      <c r="G2320" s="2" t="s">
        <v>18</v>
      </c>
      <c r="H2320" s="2" t="s">
        <v>18</v>
      </c>
      <c r="I2320" s="2" t="s">
        <v>46</v>
      </c>
      <c r="J2320" s="2" t="s">
        <v>880</v>
      </c>
      <c r="K2320" s="2" t="s">
        <v>1513</v>
      </c>
      <c r="L2320" s="3">
        <v>0.375</v>
      </c>
      <c r="M2320" s="2" t="s">
        <v>881</v>
      </c>
      <c r="N2320" s="2" t="s">
        <v>500</v>
      </c>
      <c r="O2320" s="2"/>
    </row>
    <row r="2321" spans="1:15" x14ac:dyDescent="0.25">
      <c r="A2321" s="2" t="s">
        <v>15</v>
      </c>
      <c r="B2321" s="2" t="str">
        <f>"FES1162770483"</f>
        <v>FES1162770483</v>
      </c>
      <c r="C2321" s="2" t="s">
        <v>1506</v>
      </c>
      <c r="D2321" s="2">
        <v>1</v>
      </c>
      <c r="E2321" s="2" t="str">
        <f>"2170757761"</f>
        <v>2170757761</v>
      </c>
      <c r="F2321" s="2" t="s">
        <v>17</v>
      </c>
      <c r="G2321" s="2" t="s">
        <v>18</v>
      </c>
      <c r="H2321" s="2" t="s">
        <v>18</v>
      </c>
      <c r="I2321" s="2" t="s">
        <v>52</v>
      </c>
      <c r="J2321" s="2" t="s">
        <v>643</v>
      </c>
      <c r="K2321" s="2" t="s">
        <v>1513</v>
      </c>
      <c r="L2321" s="3">
        <v>0.42708333333333331</v>
      </c>
      <c r="M2321" s="2" t="s">
        <v>1700</v>
      </c>
      <c r="N2321" s="2" t="s">
        <v>500</v>
      </c>
      <c r="O2321" s="2"/>
    </row>
    <row r="2322" spans="1:15" x14ac:dyDescent="0.25">
      <c r="A2322" s="2" t="s">
        <v>15</v>
      </c>
      <c r="B2322" s="2" t="str">
        <f>"FES1162770433"</f>
        <v>FES1162770433</v>
      </c>
      <c r="C2322" s="2" t="s">
        <v>1506</v>
      </c>
      <c r="D2322" s="2">
        <v>1</v>
      </c>
      <c r="E2322" s="2" t="str">
        <f>"2170756901"</f>
        <v>2170756901</v>
      </c>
      <c r="F2322" s="2" t="s">
        <v>17</v>
      </c>
      <c r="G2322" s="2" t="s">
        <v>18</v>
      </c>
      <c r="H2322" s="2" t="s">
        <v>18</v>
      </c>
      <c r="I2322" s="2" t="s">
        <v>46</v>
      </c>
      <c r="J2322" s="2" t="s">
        <v>880</v>
      </c>
      <c r="K2322" s="2" t="s">
        <v>1513</v>
      </c>
      <c r="L2322" s="3">
        <v>0.30555555555555552</v>
      </c>
      <c r="M2322" s="2" t="s">
        <v>1701</v>
      </c>
      <c r="N2322" s="2" t="s">
        <v>500</v>
      </c>
      <c r="O2322" s="2"/>
    </row>
    <row r="2323" spans="1:15" x14ac:dyDescent="0.25">
      <c r="A2323" s="2" t="s">
        <v>15</v>
      </c>
      <c r="B2323" s="2" t="str">
        <f>"FES1162770480"</f>
        <v>FES1162770480</v>
      </c>
      <c r="C2323" s="2" t="s">
        <v>1506</v>
      </c>
      <c r="D2323" s="2">
        <v>1</v>
      </c>
      <c r="E2323" s="2" t="str">
        <f>"2170757455"</f>
        <v>2170757455</v>
      </c>
      <c r="F2323" s="2" t="s">
        <v>17</v>
      </c>
      <c r="G2323" s="2" t="s">
        <v>18</v>
      </c>
      <c r="H2323" s="2" t="s">
        <v>25</v>
      </c>
      <c r="I2323" s="2" t="s">
        <v>39</v>
      </c>
      <c r="J2323" s="2" t="s">
        <v>1702</v>
      </c>
      <c r="K2323" s="2" t="s">
        <v>1513</v>
      </c>
      <c r="L2323" s="3">
        <v>0.41666666666666669</v>
      </c>
      <c r="M2323" s="2" t="s">
        <v>1703</v>
      </c>
      <c r="N2323" s="2" t="s">
        <v>500</v>
      </c>
      <c r="O2323" s="2"/>
    </row>
    <row r="2324" spans="1:15" x14ac:dyDescent="0.25">
      <c r="A2324" s="2" t="s">
        <v>15</v>
      </c>
      <c r="B2324" s="2" t="str">
        <f>"FES1162770477"</f>
        <v>FES1162770477</v>
      </c>
      <c r="C2324" s="2" t="s">
        <v>1506</v>
      </c>
      <c r="D2324" s="2">
        <v>1</v>
      </c>
      <c r="E2324" s="2" t="str">
        <f>"2170757713"</f>
        <v>2170757713</v>
      </c>
      <c r="F2324" s="2" t="s">
        <v>17</v>
      </c>
      <c r="G2324" s="2" t="s">
        <v>18</v>
      </c>
      <c r="H2324" s="2" t="s">
        <v>18</v>
      </c>
      <c r="I2324" s="2" t="s">
        <v>63</v>
      </c>
      <c r="J2324" s="2" t="s">
        <v>1704</v>
      </c>
      <c r="K2324" s="2" t="s">
        <v>1513</v>
      </c>
      <c r="L2324" s="3">
        <v>0.40625</v>
      </c>
      <c r="M2324" s="2" t="s">
        <v>1705</v>
      </c>
      <c r="N2324" s="2" t="s">
        <v>500</v>
      </c>
      <c r="O2324" s="2"/>
    </row>
    <row r="2325" spans="1:15" x14ac:dyDescent="0.25">
      <c r="A2325" s="2" t="s">
        <v>15</v>
      </c>
      <c r="B2325" s="2" t="str">
        <f>"FES1162770448"</f>
        <v>FES1162770448</v>
      </c>
      <c r="C2325" s="2" t="s">
        <v>1506</v>
      </c>
      <c r="D2325" s="2">
        <v>1</v>
      </c>
      <c r="E2325" s="2" t="str">
        <f>"2170757703"</f>
        <v>2170757703</v>
      </c>
      <c r="F2325" s="2" t="s">
        <v>480</v>
      </c>
      <c r="G2325" s="2" t="s">
        <v>18</v>
      </c>
      <c r="H2325" s="2" t="s">
        <v>18</v>
      </c>
      <c r="I2325" s="2" t="s">
        <v>57</v>
      </c>
      <c r="J2325" s="2" t="s">
        <v>760</v>
      </c>
      <c r="K2325" s="2" t="s">
        <v>1513</v>
      </c>
      <c r="L2325" s="3">
        <v>0.26944444444444443</v>
      </c>
      <c r="M2325" s="2" t="s">
        <v>1706</v>
      </c>
      <c r="N2325" s="2" t="s">
        <v>500</v>
      </c>
      <c r="O2325" s="2"/>
    </row>
    <row r="2326" spans="1:15" x14ac:dyDescent="0.25">
      <c r="A2326" s="2" t="s">
        <v>15</v>
      </c>
      <c r="B2326" s="2" t="str">
        <f>"FES1162770426"</f>
        <v>FES1162770426</v>
      </c>
      <c r="C2326" s="2" t="s">
        <v>1506</v>
      </c>
      <c r="D2326" s="2">
        <v>1</v>
      </c>
      <c r="E2326" s="2" t="str">
        <f>"2170756576"</f>
        <v>2170756576</v>
      </c>
      <c r="F2326" s="2" t="s">
        <v>17</v>
      </c>
      <c r="G2326" s="2" t="s">
        <v>18</v>
      </c>
      <c r="H2326" s="2" t="s">
        <v>88</v>
      </c>
      <c r="I2326" s="2" t="s">
        <v>89</v>
      </c>
      <c r="J2326" s="2" t="s">
        <v>909</v>
      </c>
      <c r="K2326" s="2" t="s">
        <v>1513</v>
      </c>
      <c r="L2326" s="3">
        <v>0.76736111111111116</v>
      </c>
      <c r="M2326" s="2" t="s">
        <v>1257</v>
      </c>
      <c r="N2326" s="2" t="s">
        <v>500</v>
      </c>
      <c r="O2326" s="2"/>
    </row>
    <row r="2327" spans="1:15" x14ac:dyDescent="0.25">
      <c r="A2327" s="2" t="s">
        <v>15</v>
      </c>
      <c r="B2327" s="2" t="str">
        <f>"FES1162770514"</f>
        <v>FES1162770514</v>
      </c>
      <c r="C2327" s="2" t="s">
        <v>1506</v>
      </c>
      <c r="D2327" s="2">
        <v>1</v>
      </c>
      <c r="E2327" s="2" t="str">
        <f>"2170756689"</f>
        <v>2170756689</v>
      </c>
      <c r="F2327" s="2" t="s">
        <v>17</v>
      </c>
      <c r="G2327" s="2" t="s">
        <v>18</v>
      </c>
      <c r="H2327" s="2" t="s">
        <v>18</v>
      </c>
      <c r="I2327" s="2" t="s">
        <v>82</v>
      </c>
      <c r="J2327" s="2" t="s">
        <v>1707</v>
      </c>
      <c r="K2327" s="2" t="s">
        <v>1513</v>
      </c>
      <c r="L2327" s="3">
        <v>0.4236111111111111</v>
      </c>
      <c r="M2327" s="2" t="s">
        <v>1708</v>
      </c>
      <c r="N2327" s="2" t="s">
        <v>500</v>
      </c>
      <c r="O2327" s="2"/>
    </row>
    <row r="2328" spans="1:15" x14ac:dyDescent="0.25">
      <c r="A2328" s="2" t="s">
        <v>15</v>
      </c>
      <c r="B2328" s="2" t="str">
        <f>"FES1162770437"</f>
        <v>FES1162770437</v>
      </c>
      <c r="C2328" s="2" t="s">
        <v>1506</v>
      </c>
      <c r="D2328" s="2">
        <v>1</v>
      </c>
      <c r="E2328" s="2" t="str">
        <f>"2170757093"</f>
        <v>2170757093</v>
      </c>
      <c r="F2328" s="2" t="s">
        <v>17</v>
      </c>
      <c r="G2328" s="2" t="s">
        <v>18</v>
      </c>
      <c r="H2328" s="2" t="s">
        <v>18</v>
      </c>
      <c r="I2328" s="2" t="s">
        <v>46</v>
      </c>
      <c r="J2328" s="2" t="s">
        <v>59</v>
      </c>
      <c r="K2328" s="2" t="s">
        <v>1513</v>
      </c>
      <c r="L2328" s="3">
        <v>0.35416666666666669</v>
      </c>
      <c r="M2328" s="2" t="s">
        <v>1590</v>
      </c>
      <c r="N2328" s="2" t="s">
        <v>500</v>
      </c>
      <c r="O2328" s="2"/>
    </row>
    <row r="2329" spans="1:15" x14ac:dyDescent="0.25">
      <c r="A2329" s="2" t="s">
        <v>15</v>
      </c>
      <c r="B2329" s="2" t="str">
        <f>"FES1162770463"</f>
        <v>FES1162770463</v>
      </c>
      <c r="C2329" s="2" t="s">
        <v>1506</v>
      </c>
      <c r="D2329" s="2">
        <v>1</v>
      </c>
      <c r="E2329" s="2" t="str">
        <f>"2170757727"</f>
        <v>2170757727</v>
      </c>
      <c r="F2329" s="2" t="s">
        <v>17</v>
      </c>
      <c r="G2329" s="2" t="s">
        <v>18</v>
      </c>
      <c r="H2329" s="2" t="s">
        <v>18</v>
      </c>
      <c r="I2329" s="2" t="s">
        <v>46</v>
      </c>
      <c r="J2329" s="2" t="s">
        <v>1709</v>
      </c>
      <c r="K2329" s="2" t="s">
        <v>1513</v>
      </c>
      <c r="L2329" s="3">
        <v>0.31041666666666667</v>
      </c>
      <c r="M2329" s="2" t="s">
        <v>1710</v>
      </c>
      <c r="N2329" s="2" t="s">
        <v>500</v>
      </c>
      <c r="O2329" s="2"/>
    </row>
    <row r="2330" spans="1:15" x14ac:dyDescent="0.25">
      <c r="A2330" s="2" t="s">
        <v>15</v>
      </c>
      <c r="B2330" s="2" t="str">
        <f>"FES1162770441"</f>
        <v>FES1162770441</v>
      </c>
      <c r="C2330" s="2" t="s">
        <v>1506</v>
      </c>
      <c r="D2330" s="2">
        <v>1</v>
      </c>
      <c r="E2330" s="2" t="str">
        <f>"2170757379"</f>
        <v>2170757379</v>
      </c>
      <c r="F2330" s="2" t="s">
        <v>17</v>
      </c>
      <c r="G2330" s="2" t="s">
        <v>18</v>
      </c>
      <c r="H2330" s="2" t="s">
        <v>18</v>
      </c>
      <c r="I2330" s="2" t="s">
        <v>65</v>
      </c>
      <c r="J2330" s="2" t="s">
        <v>87</v>
      </c>
      <c r="K2330" s="2" t="s">
        <v>1513</v>
      </c>
      <c r="L2330" s="3">
        <v>0.30555555555555552</v>
      </c>
      <c r="M2330" s="2" t="s">
        <v>1711</v>
      </c>
      <c r="N2330" s="2" t="s">
        <v>500</v>
      </c>
      <c r="O2330" s="2"/>
    </row>
    <row r="2331" spans="1:15" x14ac:dyDescent="0.25">
      <c r="A2331" s="2" t="s">
        <v>15</v>
      </c>
      <c r="B2331" s="2" t="str">
        <f>"FES1162770429"</f>
        <v>FES1162770429</v>
      </c>
      <c r="C2331" s="2" t="s">
        <v>1506</v>
      </c>
      <c r="D2331" s="2">
        <v>1</v>
      </c>
      <c r="E2331" s="2" t="str">
        <f>"2170756639"</f>
        <v>2170756639</v>
      </c>
      <c r="F2331" s="2" t="s">
        <v>17</v>
      </c>
      <c r="G2331" s="2" t="s">
        <v>18</v>
      </c>
      <c r="H2331" s="2" t="s">
        <v>88</v>
      </c>
      <c r="I2331" s="2" t="s">
        <v>109</v>
      </c>
      <c r="J2331" s="2" t="s">
        <v>614</v>
      </c>
      <c r="K2331" s="2" t="s">
        <v>1513</v>
      </c>
      <c r="L2331" s="3">
        <v>0.55208333333333337</v>
      </c>
      <c r="M2331" s="2" t="s">
        <v>1153</v>
      </c>
      <c r="N2331" s="2" t="s">
        <v>500</v>
      </c>
      <c r="O2331" s="2"/>
    </row>
    <row r="2332" spans="1:15" x14ac:dyDescent="0.25">
      <c r="A2332" s="2" t="s">
        <v>15</v>
      </c>
      <c r="B2332" s="2" t="str">
        <f>"FES1162770439"</f>
        <v>FES1162770439</v>
      </c>
      <c r="C2332" s="2" t="s">
        <v>1506</v>
      </c>
      <c r="D2332" s="2">
        <v>1</v>
      </c>
      <c r="E2332" s="2" t="str">
        <f>"2170757182"</f>
        <v>2170757182</v>
      </c>
      <c r="F2332" s="2" t="s">
        <v>17</v>
      </c>
      <c r="G2332" s="2" t="s">
        <v>18</v>
      </c>
      <c r="H2332" s="2" t="s">
        <v>18</v>
      </c>
      <c r="I2332" s="2" t="s">
        <v>46</v>
      </c>
      <c r="J2332" s="2" t="s">
        <v>880</v>
      </c>
      <c r="K2332" s="2" t="s">
        <v>1513</v>
      </c>
      <c r="L2332" s="3">
        <v>0.3444444444444445</v>
      </c>
      <c r="M2332" s="2" t="s">
        <v>881</v>
      </c>
      <c r="N2332" s="2" t="s">
        <v>500</v>
      </c>
      <c r="O2332" s="2"/>
    </row>
    <row r="2333" spans="1:15" x14ac:dyDescent="0.25">
      <c r="A2333" s="2" t="s">
        <v>15</v>
      </c>
      <c r="B2333" s="2" t="str">
        <f>"FES1162770113"</f>
        <v>FES1162770113</v>
      </c>
      <c r="C2333" s="2" t="s">
        <v>1506</v>
      </c>
      <c r="D2333" s="2">
        <v>1</v>
      </c>
      <c r="E2333" s="2" t="str">
        <f>"2170756777"</f>
        <v>2170756777</v>
      </c>
      <c r="F2333" s="2" t="s">
        <v>17</v>
      </c>
      <c r="G2333" s="2" t="s">
        <v>18</v>
      </c>
      <c r="H2333" s="2" t="s">
        <v>18</v>
      </c>
      <c r="I2333" s="2" t="s">
        <v>46</v>
      </c>
      <c r="J2333" s="2" t="s">
        <v>168</v>
      </c>
      <c r="K2333" s="2" t="s">
        <v>1513</v>
      </c>
      <c r="L2333" s="3">
        <v>0.39444444444444443</v>
      </c>
      <c r="M2333" s="2" t="s">
        <v>559</v>
      </c>
      <c r="N2333" s="2" t="s">
        <v>500</v>
      </c>
      <c r="O2333" s="2"/>
    </row>
    <row r="2334" spans="1:15" x14ac:dyDescent="0.25">
      <c r="A2334" s="2" t="s">
        <v>15</v>
      </c>
      <c r="B2334" s="2" t="str">
        <f>"FES1162770461"</f>
        <v>FES1162770461</v>
      </c>
      <c r="C2334" s="2" t="s">
        <v>1506</v>
      </c>
      <c r="D2334" s="2">
        <v>1</v>
      </c>
      <c r="E2334" s="2" t="str">
        <f>"2170757725"</f>
        <v>2170757725</v>
      </c>
      <c r="F2334" s="2" t="s">
        <v>17</v>
      </c>
      <c r="G2334" s="2" t="s">
        <v>18</v>
      </c>
      <c r="H2334" s="2" t="s">
        <v>25</v>
      </c>
      <c r="I2334" s="2" t="s">
        <v>345</v>
      </c>
      <c r="J2334" s="2" t="s">
        <v>346</v>
      </c>
      <c r="K2334" s="2" t="s">
        <v>1762</v>
      </c>
      <c r="L2334" s="3">
        <v>0.33194444444444443</v>
      </c>
      <c r="M2334" s="2" t="s">
        <v>1830</v>
      </c>
      <c r="N2334" s="2" t="s">
        <v>500</v>
      </c>
      <c r="O2334" s="2"/>
    </row>
    <row r="2335" spans="1:15" x14ac:dyDescent="0.25">
      <c r="A2335" s="2" t="s">
        <v>15</v>
      </c>
      <c r="B2335" s="2" t="str">
        <f>"FES1162770499"</f>
        <v>FES1162770499</v>
      </c>
      <c r="C2335" s="2" t="s">
        <v>1506</v>
      </c>
      <c r="D2335" s="2">
        <v>1</v>
      </c>
      <c r="E2335" s="2" t="str">
        <f>"2170757775"</f>
        <v>2170757775</v>
      </c>
      <c r="F2335" s="2" t="s">
        <v>17</v>
      </c>
      <c r="G2335" s="2" t="s">
        <v>18</v>
      </c>
      <c r="H2335" s="2" t="s">
        <v>25</v>
      </c>
      <c r="I2335" s="2" t="s">
        <v>26</v>
      </c>
      <c r="J2335" s="2" t="s">
        <v>1712</v>
      </c>
      <c r="K2335" s="2" t="s">
        <v>1513</v>
      </c>
      <c r="L2335" s="3">
        <v>0.41666666666666669</v>
      </c>
      <c r="M2335" s="2" t="s">
        <v>1713</v>
      </c>
      <c r="N2335" s="2" t="s">
        <v>500</v>
      </c>
      <c r="O2335" s="2"/>
    </row>
    <row r="2336" spans="1:15" x14ac:dyDescent="0.25">
      <c r="A2336" s="2" t="s">
        <v>15</v>
      </c>
      <c r="B2336" s="2" t="str">
        <f>"FES1162770502"</f>
        <v>FES1162770502</v>
      </c>
      <c r="C2336" s="2" t="s">
        <v>1506</v>
      </c>
      <c r="D2336" s="2">
        <v>1</v>
      </c>
      <c r="E2336" s="2" t="str">
        <f>"2170757781"</f>
        <v>2170757781</v>
      </c>
      <c r="F2336" s="2" t="s">
        <v>17</v>
      </c>
      <c r="G2336" s="2" t="s">
        <v>18</v>
      </c>
      <c r="H2336" s="2" t="s">
        <v>25</v>
      </c>
      <c r="I2336" s="2" t="s">
        <v>61</v>
      </c>
      <c r="J2336" s="2" t="s">
        <v>1714</v>
      </c>
      <c r="K2336" s="2" t="s">
        <v>1762</v>
      </c>
      <c r="L2336" s="3">
        <v>0.38819444444444445</v>
      </c>
      <c r="M2336" s="2" t="s">
        <v>1831</v>
      </c>
      <c r="N2336" s="2" t="s">
        <v>500</v>
      </c>
      <c r="O2336" s="2"/>
    </row>
    <row r="2337" spans="1:15" x14ac:dyDescent="0.25">
      <c r="A2337" s="2" t="s">
        <v>15</v>
      </c>
      <c r="B2337" s="2" t="str">
        <f>"FES1162770465"</f>
        <v>FES1162770465</v>
      </c>
      <c r="C2337" s="2" t="s">
        <v>1506</v>
      </c>
      <c r="D2337" s="2">
        <v>1</v>
      </c>
      <c r="E2337" s="2" t="str">
        <f>"2170757733"</f>
        <v>2170757733</v>
      </c>
      <c r="F2337" s="2" t="s">
        <v>17</v>
      </c>
      <c r="G2337" s="2" t="s">
        <v>18</v>
      </c>
      <c r="H2337" s="2" t="s">
        <v>25</v>
      </c>
      <c r="I2337" s="2" t="s">
        <v>26</v>
      </c>
      <c r="J2337" s="2" t="s">
        <v>353</v>
      </c>
      <c r="K2337" s="2" t="s">
        <v>1513</v>
      </c>
      <c r="L2337" s="3">
        <v>0.41666666666666669</v>
      </c>
      <c r="M2337" s="2" t="s">
        <v>1715</v>
      </c>
      <c r="N2337" s="2" t="s">
        <v>500</v>
      </c>
      <c r="O2337" s="2"/>
    </row>
    <row r="2338" spans="1:15" x14ac:dyDescent="0.25">
      <c r="A2338" s="2" t="s">
        <v>15</v>
      </c>
      <c r="B2338" s="2" t="str">
        <f>"FES1162770494"</f>
        <v>FES1162770494</v>
      </c>
      <c r="C2338" s="2" t="s">
        <v>1506</v>
      </c>
      <c r="D2338" s="2">
        <v>1</v>
      </c>
      <c r="E2338" s="2" t="str">
        <f>"2170757770"</f>
        <v>2170757770</v>
      </c>
      <c r="F2338" s="2" t="s">
        <v>17</v>
      </c>
      <c r="G2338" s="2" t="s">
        <v>18</v>
      </c>
      <c r="H2338" s="2" t="s">
        <v>25</v>
      </c>
      <c r="I2338" s="2" t="s">
        <v>26</v>
      </c>
      <c r="J2338" s="2" t="s">
        <v>1716</v>
      </c>
      <c r="K2338" s="2" t="s">
        <v>1513</v>
      </c>
      <c r="L2338" s="3">
        <v>0.41666666666666669</v>
      </c>
      <c r="M2338" s="2" t="s">
        <v>1832</v>
      </c>
      <c r="N2338" s="2" t="s">
        <v>500</v>
      </c>
      <c r="O2338" s="2"/>
    </row>
    <row r="2339" spans="1:15" x14ac:dyDescent="0.25">
      <c r="A2339" s="2" t="s">
        <v>15</v>
      </c>
      <c r="B2339" s="2" t="str">
        <f>"FES1162769549"</f>
        <v>FES1162769549</v>
      </c>
      <c r="C2339" s="2" t="s">
        <v>1506</v>
      </c>
      <c r="D2339" s="2">
        <v>1</v>
      </c>
      <c r="E2339" s="2" t="str">
        <f>"2170756180"</f>
        <v>2170756180</v>
      </c>
      <c r="F2339" s="2" t="s">
        <v>17</v>
      </c>
      <c r="G2339" s="2" t="s">
        <v>18</v>
      </c>
      <c r="H2339" s="2" t="s">
        <v>18</v>
      </c>
      <c r="I2339" s="2" t="s">
        <v>329</v>
      </c>
      <c r="J2339" s="2" t="s">
        <v>1028</v>
      </c>
      <c r="K2339" s="2" t="s">
        <v>1513</v>
      </c>
      <c r="L2339" s="3">
        <v>0.43055555555555558</v>
      </c>
      <c r="M2339" s="2" t="s">
        <v>1717</v>
      </c>
      <c r="N2339" s="2" t="s">
        <v>500</v>
      </c>
      <c r="O2339" s="2"/>
    </row>
    <row r="2340" spans="1:15" x14ac:dyDescent="0.25">
      <c r="A2340" s="2" t="s">
        <v>15</v>
      </c>
      <c r="B2340" s="2" t="str">
        <f>"FES1162770447"</f>
        <v>FES1162770447</v>
      </c>
      <c r="C2340" s="2" t="s">
        <v>1506</v>
      </c>
      <c r="D2340" s="2">
        <v>1</v>
      </c>
      <c r="E2340" s="2" t="str">
        <f>"2170757702"</f>
        <v>2170757702</v>
      </c>
      <c r="F2340" s="2" t="s">
        <v>17</v>
      </c>
      <c r="G2340" s="2" t="s">
        <v>18</v>
      </c>
      <c r="H2340" s="2" t="s">
        <v>18</v>
      </c>
      <c r="I2340" s="2" t="s">
        <v>97</v>
      </c>
      <c r="J2340" s="2" t="s">
        <v>1718</v>
      </c>
      <c r="K2340" s="2" t="s">
        <v>1513</v>
      </c>
      <c r="L2340" s="3">
        <v>0.35486111111111113</v>
      </c>
      <c r="M2340" s="2" t="s">
        <v>1719</v>
      </c>
      <c r="N2340" s="2" t="s">
        <v>500</v>
      </c>
      <c r="O2340" s="2"/>
    </row>
    <row r="2341" spans="1:15" x14ac:dyDescent="0.25">
      <c r="A2341" s="2" t="s">
        <v>15</v>
      </c>
      <c r="B2341" s="2" t="str">
        <f>"FES1162770456"</f>
        <v>FES1162770456</v>
      </c>
      <c r="C2341" s="2" t="s">
        <v>1506</v>
      </c>
      <c r="D2341" s="2">
        <v>1</v>
      </c>
      <c r="E2341" s="2" t="str">
        <f>"2170757717"</f>
        <v>2170757717</v>
      </c>
      <c r="F2341" s="2" t="s">
        <v>17</v>
      </c>
      <c r="G2341" s="2" t="s">
        <v>18</v>
      </c>
      <c r="H2341" s="2" t="s">
        <v>25</v>
      </c>
      <c r="I2341" s="2" t="s">
        <v>26</v>
      </c>
      <c r="J2341" s="2" t="s">
        <v>75</v>
      </c>
      <c r="K2341" s="2" t="s">
        <v>1513</v>
      </c>
      <c r="L2341" s="3">
        <v>0.41666666666666669</v>
      </c>
      <c r="M2341" s="2" t="s">
        <v>1833</v>
      </c>
      <c r="N2341" s="2" t="s">
        <v>500</v>
      </c>
      <c r="O2341" s="2"/>
    </row>
    <row r="2342" spans="1:15" x14ac:dyDescent="0.25">
      <c r="A2342" s="2" t="s">
        <v>15</v>
      </c>
      <c r="B2342" s="2" t="str">
        <f>"FES1162770419"</f>
        <v>FES1162770419</v>
      </c>
      <c r="C2342" s="2" t="s">
        <v>1506</v>
      </c>
      <c r="D2342" s="2">
        <v>1</v>
      </c>
      <c r="E2342" s="2" t="str">
        <f>"2170754459"</f>
        <v>2170754459</v>
      </c>
      <c r="F2342" s="2" t="s">
        <v>17</v>
      </c>
      <c r="G2342" s="2" t="s">
        <v>18</v>
      </c>
      <c r="H2342" s="2" t="s">
        <v>25</v>
      </c>
      <c r="I2342" s="2" t="s">
        <v>26</v>
      </c>
      <c r="J2342" s="2" t="s">
        <v>94</v>
      </c>
      <c r="K2342" s="2" t="s">
        <v>1513</v>
      </c>
      <c r="L2342" s="3">
        <v>0.41666666666666669</v>
      </c>
      <c r="M2342" s="2" t="s">
        <v>1834</v>
      </c>
      <c r="N2342" s="2" t="s">
        <v>500</v>
      </c>
      <c r="O2342" s="2"/>
    </row>
    <row r="2343" spans="1:15" x14ac:dyDescent="0.25">
      <c r="A2343" s="2" t="s">
        <v>15</v>
      </c>
      <c r="B2343" s="2" t="str">
        <f>"FES1162770430"</f>
        <v>FES1162770430</v>
      </c>
      <c r="C2343" s="2" t="s">
        <v>1506</v>
      </c>
      <c r="D2343" s="2">
        <v>1</v>
      </c>
      <c r="E2343" s="2" t="str">
        <f>"2170756772"</f>
        <v>2170756772</v>
      </c>
      <c r="F2343" s="2" t="s">
        <v>17</v>
      </c>
      <c r="G2343" s="2" t="s">
        <v>18</v>
      </c>
      <c r="H2343" s="2" t="s">
        <v>18</v>
      </c>
      <c r="I2343" s="2" t="s">
        <v>46</v>
      </c>
      <c r="J2343" s="2" t="s">
        <v>285</v>
      </c>
      <c r="K2343" s="2" t="s">
        <v>1513</v>
      </c>
      <c r="L2343" s="3">
        <v>0.30555555555555552</v>
      </c>
      <c r="M2343" s="2" t="s">
        <v>1701</v>
      </c>
      <c r="N2343" s="2" t="s">
        <v>500</v>
      </c>
      <c r="O2343" s="2"/>
    </row>
    <row r="2344" spans="1:15" x14ac:dyDescent="0.25">
      <c r="A2344" s="2" t="s">
        <v>15</v>
      </c>
      <c r="B2344" s="2" t="str">
        <f>"FES1162770435"</f>
        <v>FES1162770435</v>
      </c>
      <c r="C2344" s="2" t="s">
        <v>1506</v>
      </c>
      <c r="D2344" s="2">
        <v>1</v>
      </c>
      <c r="E2344" s="2" t="str">
        <f>"2170757006"</f>
        <v>2170757006</v>
      </c>
      <c r="F2344" s="2" t="s">
        <v>17</v>
      </c>
      <c r="G2344" s="2" t="s">
        <v>18</v>
      </c>
      <c r="H2344" s="2" t="s">
        <v>88</v>
      </c>
      <c r="I2344" s="2" t="s">
        <v>109</v>
      </c>
      <c r="J2344" s="2" t="s">
        <v>880</v>
      </c>
      <c r="K2344" s="2" t="s">
        <v>1513</v>
      </c>
      <c r="L2344" s="3">
        <v>0.52083333333333337</v>
      </c>
      <c r="M2344" s="2" t="s">
        <v>1471</v>
      </c>
      <c r="N2344" s="2" t="s">
        <v>500</v>
      </c>
      <c r="O2344" s="2"/>
    </row>
    <row r="2345" spans="1:15" x14ac:dyDescent="0.25">
      <c r="A2345" s="2" t="s">
        <v>15</v>
      </c>
      <c r="B2345" s="2" t="str">
        <f>"009940283619"</f>
        <v>009940283619</v>
      </c>
      <c r="C2345" s="2" t="s">
        <v>1506</v>
      </c>
      <c r="D2345" s="2">
        <v>1</v>
      </c>
      <c r="E2345" s="2" t="str">
        <f>"1162769968"</f>
        <v>1162769968</v>
      </c>
      <c r="F2345" s="2" t="s">
        <v>17</v>
      </c>
      <c r="G2345" s="2" t="s">
        <v>18</v>
      </c>
      <c r="H2345" s="2" t="s">
        <v>36</v>
      </c>
      <c r="I2345" s="2" t="s">
        <v>37</v>
      </c>
      <c r="J2345" s="2" t="s">
        <v>378</v>
      </c>
      <c r="K2345" s="2" t="s">
        <v>1513</v>
      </c>
      <c r="L2345" s="3">
        <v>0.41666666666666669</v>
      </c>
      <c r="M2345" s="2" t="s">
        <v>719</v>
      </c>
      <c r="N2345" s="2" t="s">
        <v>500</v>
      </c>
      <c r="O2345" s="2"/>
    </row>
    <row r="2346" spans="1:15" x14ac:dyDescent="0.25">
      <c r="A2346" s="2" t="s">
        <v>15</v>
      </c>
      <c r="B2346" s="2" t="str">
        <f>"FES1162770443"</f>
        <v>FES1162770443</v>
      </c>
      <c r="C2346" s="2" t="s">
        <v>1506</v>
      </c>
      <c r="D2346" s="2">
        <v>1</v>
      </c>
      <c r="E2346" s="2" t="str">
        <f>"2170757660"</f>
        <v>2170757660</v>
      </c>
      <c r="F2346" s="2" t="s">
        <v>17</v>
      </c>
      <c r="G2346" s="2" t="s">
        <v>18</v>
      </c>
      <c r="H2346" s="2" t="s">
        <v>88</v>
      </c>
      <c r="I2346" s="2" t="s">
        <v>109</v>
      </c>
      <c r="J2346" s="2" t="s">
        <v>339</v>
      </c>
      <c r="K2346" s="2" t="s">
        <v>1513</v>
      </c>
      <c r="L2346" s="3">
        <v>0.4236111111111111</v>
      </c>
      <c r="M2346" s="2" t="s">
        <v>366</v>
      </c>
      <c r="N2346" s="2" t="s">
        <v>500</v>
      </c>
      <c r="O2346" s="2"/>
    </row>
    <row r="2347" spans="1:15" x14ac:dyDescent="0.25">
      <c r="A2347" s="2" t="s">
        <v>15</v>
      </c>
      <c r="B2347" s="2" t="str">
        <f>"FES1162770467"</f>
        <v>FES1162770467</v>
      </c>
      <c r="C2347" s="2" t="s">
        <v>1506</v>
      </c>
      <c r="D2347" s="2">
        <v>1</v>
      </c>
      <c r="E2347" s="2" t="str">
        <f>"2170757736"</f>
        <v>2170757736</v>
      </c>
      <c r="F2347" s="2" t="s">
        <v>17</v>
      </c>
      <c r="G2347" s="2" t="s">
        <v>18</v>
      </c>
      <c r="H2347" s="2" t="s">
        <v>18</v>
      </c>
      <c r="I2347" s="2" t="s">
        <v>52</v>
      </c>
      <c r="J2347" s="2" t="s">
        <v>776</v>
      </c>
      <c r="K2347" s="2" t="s">
        <v>1513</v>
      </c>
      <c r="L2347" s="3">
        <v>0.4291666666666667</v>
      </c>
      <c r="M2347" s="2" t="s">
        <v>1720</v>
      </c>
      <c r="N2347" s="2" t="s">
        <v>500</v>
      </c>
      <c r="O2347" s="2"/>
    </row>
    <row r="2348" spans="1:15" x14ac:dyDescent="0.25">
      <c r="A2348" s="2" t="s">
        <v>15</v>
      </c>
      <c r="B2348" s="2" t="str">
        <f>"FES1162770460"</f>
        <v>FES1162770460</v>
      </c>
      <c r="C2348" s="2" t="s">
        <v>1506</v>
      </c>
      <c r="D2348" s="2">
        <v>1</v>
      </c>
      <c r="E2348" s="2" t="str">
        <f>"2170757723"</f>
        <v>2170757723</v>
      </c>
      <c r="F2348" s="2" t="s">
        <v>17</v>
      </c>
      <c r="G2348" s="2" t="s">
        <v>18</v>
      </c>
      <c r="H2348" s="2" t="s">
        <v>18</v>
      </c>
      <c r="I2348" s="2" t="s">
        <v>157</v>
      </c>
      <c r="J2348" s="2" t="s">
        <v>664</v>
      </c>
      <c r="K2348" s="2" t="s">
        <v>1513</v>
      </c>
      <c r="L2348" s="3">
        <v>0.43055555555555558</v>
      </c>
      <c r="M2348" s="2" t="s">
        <v>1721</v>
      </c>
      <c r="N2348" s="2" t="s">
        <v>500</v>
      </c>
      <c r="O2348" s="2"/>
    </row>
    <row r="2349" spans="1:15" x14ac:dyDescent="0.25">
      <c r="A2349" s="2" t="s">
        <v>15</v>
      </c>
      <c r="B2349" s="2" t="str">
        <f>"FES1162770469"</f>
        <v>FES1162770469</v>
      </c>
      <c r="C2349" s="2" t="s">
        <v>1506</v>
      </c>
      <c r="D2349" s="2">
        <v>1</v>
      </c>
      <c r="E2349" s="2" t="str">
        <f>"2170757743"</f>
        <v>2170757743</v>
      </c>
      <c r="F2349" s="2" t="s">
        <v>17</v>
      </c>
      <c r="G2349" s="2" t="s">
        <v>18</v>
      </c>
      <c r="H2349" s="2" t="s">
        <v>25</v>
      </c>
      <c r="I2349" s="2" t="s">
        <v>26</v>
      </c>
      <c r="J2349" s="2" t="s">
        <v>474</v>
      </c>
      <c r="K2349" s="2" t="s">
        <v>1513</v>
      </c>
      <c r="L2349" s="3">
        <v>0.41666666666666669</v>
      </c>
      <c r="M2349" s="2" t="s">
        <v>1168</v>
      </c>
      <c r="N2349" s="2" t="s">
        <v>500</v>
      </c>
      <c r="O2349" s="2"/>
    </row>
    <row r="2350" spans="1:15" x14ac:dyDescent="0.25">
      <c r="A2350" s="2" t="s">
        <v>15</v>
      </c>
      <c r="B2350" s="2" t="str">
        <f>"FES1162770451"</f>
        <v>FES1162770451</v>
      </c>
      <c r="C2350" s="2" t="s">
        <v>1506</v>
      </c>
      <c r="D2350" s="2">
        <v>1</v>
      </c>
      <c r="E2350" s="2" t="str">
        <f>"2170757708"</f>
        <v>2170757708</v>
      </c>
      <c r="F2350" s="2" t="s">
        <v>17</v>
      </c>
      <c r="G2350" s="2" t="s">
        <v>18</v>
      </c>
      <c r="H2350" s="2" t="s">
        <v>19</v>
      </c>
      <c r="I2350" s="2" t="s">
        <v>20</v>
      </c>
      <c r="J2350" s="2" t="s">
        <v>123</v>
      </c>
      <c r="K2350" s="2" t="s">
        <v>1513</v>
      </c>
      <c r="L2350" s="3">
        <v>0.4375</v>
      </c>
      <c r="M2350" s="2" t="s">
        <v>1722</v>
      </c>
      <c r="N2350" s="2" t="s">
        <v>500</v>
      </c>
      <c r="O2350" s="2"/>
    </row>
    <row r="2351" spans="1:15" x14ac:dyDescent="0.25">
      <c r="A2351" s="2" t="s">
        <v>15</v>
      </c>
      <c r="B2351" s="2" t="str">
        <f>"FES1162770485"</f>
        <v>FES1162770485</v>
      </c>
      <c r="C2351" s="2" t="s">
        <v>1506</v>
      </c>
      <c r="D2351" s="2">
        <v>1</v>
      </c>
      <c r="E2351" s="2" t="str">
        <f>"2170757764"</f>
        <v>2170757764</v>
      </c>
      <c r="F2351" s="2" t="s">
        <v>17</v>
      </c>
      <c r="G2351" s="2" t="s">
        <v>18</v>
      </c>
      <c r="H2351" s="2" t="s">
        <v>19</v>
      </c>
      <c r="I2351" s="2" t="s">
        <v>20</v>
      </c>
      <c r="J2351" s="2" t="s">
        <v>128</v>
      </c>
      <c r="K2351" s="2" t="s">
        <v>1513</v>
      </c>
      <c r="L2351" s="3">
        <v>0.4375</v>
      </c>
      <c r="M2351" s="2" t="s">
        <v>1723</v>
      </c>
      <c r="N2351" s="2" t="s">
        <v>500</v>
      </c>
      <c r="O2351" s="2"/>
    </row>
    <row r="2352" spans="1:15" x14ac:dyDescent="0.25">
      <c r="A2352" s="2" t="s">
        <v>15</v>
      </c>
      <c r="B2352" s="2" t="str">
        <f>"FES1162770406"</f>
        <v>FES1162770406</v>
      </c>
      <c r="C2352" s="2" t="s">
        <v>1506</v>
      </c>
      <c r="D2352" s="2">
        <v>1</v>
      </c>
      <c r="E2352" s="2" t="str">
        <f>"2170754478"</f>
        <v>2170754478</v>
      </c>
      <c r="F2352" s="2" t="s">
        <v>17</v>
      </c>
      <c r="G2352" s="2" t="s">
        <v>18</v>
      </c>
      <c r="H2352" s="2" t="s">
        <v>19</v>
      </c>
      <c r="I2352" s="2" t="s">
        <v>130</v>
      </c>
      <c r="J2352" s="2" t="s">
        <v>131</v>
      </c>
      <c r="K2352" s="2" t="s">
        <v>1513</v>
      </c>
      <c r="L2352" s="3">
        <v>0.4375</v>
      </c>
      <c r="M2352" s="2" t="s">
        <v>600</v>
      </c>
      <c r="N2352" s="2" t="s">
        <v>500</v>
      </c>
      <c r="O2352" s="2"/>
    </row>
    <row r="2353" spans="1:15" x14ac:dyDescent="0.25">
      <c r="A2353" s="2" t="s">
        <v>15</v>
      </c>
      <c r="B2353" s="2" t="str">
        <f>"FES1162770507"</f>
        <v>FES1162770507</v>
      </c>
      <c r="C2353" s="2" t="s">
        <v>1506</v>
      </c>
      <c r="D2353" s="2">
        <v>1</v>
      </c>
      <c r="E2353" s="2" t="str">
        <f>"2170754684"</f>
        <v>2170754684</v>
      </c>
      <c r="F2353" s="2" t="s">
        <v>17</v>
      </c>
      <c r="G2353" s="2" t="s">
        <v>18</v>
      </c>
      <c r="H2353" s="2" t="s">
        <v>19</v>
      </c>
      <c r="I2353" s="2" t="s">
        <v>20</v>
      </c>
      <c r="J2353" s="2" t="s">
        <v>1724</v>
      </c>
      <c r="K2353" s="2" t="s">
        <v>1513</v>
      </c>
      <c r="L2353" s="3">
        <v>0.4375</v>
      </c>
      <c r="M2353" s="2" t="s">
        <v>1725</v>
      </c>
      <c r="N2353" s="2" t="s">
        <v>500</v>
      </c>
      <c r="O2353" s="2"/>
    </row>
    <row r="2354" spans="1:15" x14ac:dyDescent="0.25">
      <c r="A2354" s="2" t="s">
        <v>15</v>
      </c>
      <c r="B2354" s="2" t="str">
        <f>"FES1162770407"</f>
        <v>FES1162770407</v>
      </c>
      <c r="C2354" s="2" t="s">
        <v>1506</v>
      </c>
      <c r="D2354" s="2">
        <v>1</v>
      </c>
      <c r="E2354" s="2" t="str">
        <f>"2170754763"</f>
        <v>2170754763</v>
      </c>
      <c r="F2354" s="2" t="s">
        <v>17</v>
      </c>
      <c r="G2354" s="2" t="s">
        <v>18</v>
      </c>
      <c r="H2354" s="2" t="s">
        <v>1726</v>
      </c>
      <c r="I2354" s="2" t="s">
        <v>109</v>
      </c>
      <c r="J2354" s="2" t="s">
        <v>1727</v>
      </c>
      <c r="K2354" s="2" t="s">
        <v>1513</v>
      </c>
      <c r="L2354" s="3">
        <v>0.62708333333333333</v>
      </c>
      <c r="M2354" s="2" t="s">
        <v>1728</v>
      </c>
      <c r="N2354" s="2" t="s">
        <v>500</v>
      </c>
      <c r="O2354" s="2"/>
    </row>
    <row r="2355" spans="1:15" x14ac:dyDescent="0.25">
      <c r="A2355" s="2" t="s">
        <v>15</v>
      </c>
      <c r="B2355" s="2" t="str">
        <f>"FES1162770403"</f>
        <v>FES1162770403</v>
      </c>
      <c r="C2355" s="2" t="s">
        <v>1506</v>
      </c>
      <c r="D2355" s="2">
        <v>1</v>
      </c>
      <c r="E2355" s="2" t="str">
        <f>"2170756977"</f>
        <v>2170756977</v>
      </c>
      <c r="F2355" s="2" t="s">
        <v>17</v>
      </c>
      <c r="G2355" s="2" t="s">
        <v>18</v>
      </c>
      <c r="H2355" s="2" t="s">
        <v>18</v>
      </c>
      <c r="I2355" s="2" t="s">
        <v>52</v>
      </c>
      <c r="J2355" s="2" t="s">
        <v>53</v>
      </c>
      <c r="K2355" s="2" t="s">
        <v>1513</v>
      </c>
      <c r="L2355" s="3">
        <v>0.4284722222222222</v>
      </c>
      <c r="M2355" s="2" t="s">
        <v>564</v>
      </c>
      <c r="N2355" s="2" t="s">
        <v>500</v>
      </c>
      <c r="O2355" s="2"/>
    </row>
    <row r="2356" spans="1:15" x14ac:dyDescent="0.25">
      <c r="A2356" s="2" t="s">
        <v>15</v>
      </c>
      <c r="B2356" s="2" t="str">
        <f>"FES1162770466"</f>
        <v>FES1162770466</v>
      </c>
      <c r="C2356" s="2" t="s">
        <v>1506</v>
      </c>
      <c r="D2356" s="2">
        <v>1</v>
      </c>
      <c r="E2356" s="2" t="str">
        <f>"2170757734"</f>
        <v>2170757734</v>
      </c>
      <c r="F2356" s="2" t="s">
        <v>17</v>
      </c>
      <c r="G2356" s="2" t="s">
        <v>18</v>
      </c>
      <c r="H2356" s="2" t="s">
        <v>18</v>
      </c>
      <c r="I2356" s="2" t="s">
        <v>46</v>
      </c>
      <c r="J2356" s="2" t="s">
        <v>1729</v>
      </c>
      <c r="K2356" s="2" t="s">
        <v>1513</v>
      </c>
      <c r="L2356" s="3">
        <v>0.43194444444444446</v>
      </c>
      <c r="M2356" s="2" t="s">
        <v>354</v>
      </c>
      <c r="N2356" s="2" t="s">
        <v>500</v>
      </c>
      <c r="O2356" s="2"/>
    </row>
    <row r="2357" spans="1:15" x14ac:dyDescent="0.25">
      <c r="A2357" s="2" t="s">
        <v>15</v>
      </c>
      <c r="B2357" s="2" t="str">
        <f>"FES1162770492"</f>
        <v>FES1162770492</v>
      </c>
      <c r="C2357" s="2" t="s">
        <v>1506</v>
      </c>
      <c r="D2357" s="2">
        <v>1</v>
      </c>
      <c r="E2357" s="2" t="str">
        <f>"2170757768"</f>
        <v>2170757768</v>
      </c>
      <c r="F2357" s="2" t="s">
        <v>17</v>
      </c>
      <c r="G2357" s="2" t="s">
        <v>18</v>
      </c>
      <c r="H2357" s="2" t="s">
        <v>88</v>
      </c>
      <c r="I2357" s="2" t="s">
        <v>109</v>
      </c>
      <c r="J2357" s="2" t="s">
        <v>155</v>
      </c>
      <c r="K2357" s="2" t="s">
        <v>1513</v>
      </c>
      <c r="L2357" s="3">
        <v>0.36944444444444446</v>
      </c>
      <c r="M2357" s="2" t="s">
        <v>1730</v>
      </c>
      <c r="N2357" s="2" t="s">
        <v>500</v>
      </c>
      <c r="O2357" s="2"/>
    </row>
    <row r="2358" spans="1:15" x14ac:dyDescent="0.25">
      <c r="A2358" s="2" t="s">
        <v>15</v>
      </c>
      <c r="B2358" s="2" t="str">
        <f>"FES1162770473"</f>
        <v>FES1162770473</v>
      </c>
      <c r="C2358" s="2" t="s">
        <v>1506</v>
      </c>
      <c r="D2358" s="2">
        <v>1</v>
      </c>
      <c r="E2358" s="2" t="str">
        <f>"2170757750"</f>
        <v>2170757750</v>
      </c>
      <c r="F2358" s="2" t="s">
        <v>17</v>
      </c>
      <c r="G2358" s="2" t="s">
        <v>18</v>
      </c>
      <c r="H2358" s="2" t="s">
        <v>18</v>
      </c>
      <c r="I2358" s="2" t="s">
        <v>46</v>
      </c>
      <c r="J2358" s="2" t="s">
        <v>139</v>
      </c>
      <c r="K2358" s="2" t="s">
        <v>1513</v>
      </c>
      <c r="L2358" s="3">
        <v>0.43402777777777773</v>
      </c>
      <c r="M2358" s="2" t="s">
        <v>1731</v>
      </c>
      <c r="N2358" s="2" t="s">
        <v>500</v>
      </c>
      <c r="O2358" s="2"/>
    </row>
    <row r="2359" spans="1:15" x14ac:dyDescent="0.25">
      <c r="A2359" s="2" t="s">
        <v>15</v>
      </c>
      <c r="B2359" s="2" t="str">
        <f>"FES1162770464"</f>
        <v>FES1162770464</v>
      </c>
      <c r="C2359" s="2" t="s">
        <v>1506</v>
      </c>
      <c r="D2359" s="2">
        <v>1</v>
      </c>
      <c r="E2359" s="2" t="str">
        <f>"2170757728"</f>
        <v>2170757728</v>
      </c>
      <c r="F2359" s="2" t="s">
        <v>17</v>
      </c>
      <c r="G2359" s="2" t="s">
        <v>18</v>
      </c>
      <c r="H2359" s="2" t="s">
        <v>88</v>
      </c>
      <c r="I2359" s="2" t="s">
        <v>109</v>
      </c>
      <c r="J2359" s="2" t="s">
        <v>110</v>
      </c>
      <c r="K2359" s="2" t="s">
        <v>1513</v>
      </c>
      <c r="L2359" s="3">
        <v>0.4152777777777778</v>
      </c>
      <c r="M2359" s="2" t="s">
        <v>1732</v>
      </c>
      <c r="N2359" s="2" t="s">
        <v>500</v>
      </c>
      <c r="O2359" s="2"/>
    </row>
    <row r="2360" spans="1:15" x14ac:dyDescent="0.25">
      <c r="A2360" s="2" t="s">
        <v>15</v>
      </c>
      <c r="B2360" s="2" t="str">
        <f>"FES1162770490"</f>
        <v>FES1162770490</v>
      </c>
      <c r="C2360" s="2" t="s">
        <v>1506</v>
      </c>
      <c r="D2360" s="2">
        <v>1</v>
      </c>
      <c r="E2360" s="2" t="str">
        <f>"2170757754"</f>
        <v>2170757754</v>
      </c>
      <c r="F2360" s="2" t="s">
        <v>17</v>
      </c>
      <c r="G2360" s="2" t="s">
        <v>18</v>
      </c>
      <c r="H2360" s="2" t="s">
        <v>18</v>
      </c>
      <c r="I2360" s="2" t="s">
        <v>63</v>
      </c>
      <c r="J2360" s="2" t="s">
        <v>1287</v>
      </c>
      <c r="K2360" s="2" t="s">
        <v>1513</v>
      </c>
      <c r="L2360" s="3">
        <v>0.375</v>
      </c>
      <c r="M2360" s="2" t="s">
        <v>354</v>
      </c>
      <c r="N2360" s="2" t="s">
        <v>500</v>
      </c>
      <c r="O2360" s="2"/>
    </row>
    <row r="2361" spans="1:15" x14ac:dyDescent="0.25">
      <c r="A2361" s="2" t="s">
        <v>15</v>
      </c>
      <c r="B2361" s="2" t="str">
        <f>"FES1162770402"</f>
        <v>FES1162770402</v>
      </c>
      <c r="C2361" s="2" t="s">
        <v>1506</v>
      </c>
      <c r="D2361" s="2">
        <v>1</v>
      </c>
      <c r="E2361" s="2" t="str">
        <f>"2170753892"</f>
        <v>2170753892</v>
      </c>
      <c r="F2361" s="2" t="s">
        <v>17</v>
      </c>
      <c r="G2361" s="2" t="s">
        <v>18</v>
      </c>
      <c r="H2361" s="2" t="s">
        <v>18</v>
      </c>
      <c r="I2361" s="2" t="s">
        <v>46</v>
      </c>
      <c r="J2361" s="2" t="s">
        <v>1233</v>
      </c>
      <c r="K2361" s="2" t="s">
        <v>1513</v>
      </c>
      <c r="L2361" s="3">
        <v>0.40972222222222227</v>
      </c>
      <c r="M2361" s="2" t="s">
        <v>354</v>
      </c>
      <c r="N2361" s="2" t="s">
        <v>500</v>
      </c>
      <c r="O2361" s="2"/>
    </row>
    <row r="2362" spans="1:15" x14ac:dyDescent="0.25">
      <c r="A2362" s="2" t="s">
        <v>15</v>
      </c>
      <c r="B2362" s="2" t="str">
        <f>"FES1162770408"</f>
        <v>FES1162770408</v>
      </c>
      <c r="C2362" s="2" t="s">
        <v>1506</v>
      </c>
      <c r="D2362" s="2">
        <v>1</v>
      </c>
      <c r="E2362" s="2" t="str">
        <f>"2170754807"</f>
        <v>2170754807</v>
      </c>
      <c r="F2362" s="2" t="s">
        <v>17</v>
      </c>
      <c r="G2362" s="2" t="s">
        <v>18</v>
      </c>
      <c r="H2362" s="2" t="s">
        <v>18</v>
      </c>
      <c r="I2362" s="2" t="s">
        <v>157</v>
      </c>
      <c r="J2362" s="2" t="s">
        <v>347</v>
      </c>
      <c r="K2362" s="2" t="s">
        <v>1513</v>
      </c>
      <c r="L2362" s="3">
        <v>0.4284722222222222</v>
      </c>
      <c r="M2362" s="2" t="s">
        <v>828</v>
      </c>
      <c r="N2362" s="2" t="s">
        <v>500</v>
      </c>
      <c r="O2362" s="2"/>
    </row>
    <row r="2363" spans="1:15" x14ac:dyDescent="0.25">
      <c r="A2363" s="2" t="s">
        <v>15</v>
      </c>
      <c r="B2363" s="2" t="str">
        <f>"FES1162770532"</f>
        <v>FES1162770532</v>
      </c>
      <c r="C2363" s="2" t="s">
        <v>1506</v>
      </c>
      <c r="D2363" s="2">
        <v>1</v>
      </c>
      <c r="E2363" s="2" t="str">
        <f>"2170757799"</f>
        <v>2170757799</v>
      </c>
      <c r="F2363" s="2" t="s">
        <v>17</v>
      </c>
      <c r="G2363" s="2" t="s">
        <v>18</v>
      </c>
      <c r="H2363" s="2" t="s">
        <v>25</v>
      </c>
      <c r="I2363" s="2" t="s">
        <v>26</v>
      </c>
      <c r="J2363" s="2" t="s">
        <v>353</v>
      </c>
      <c r="K2363" s="2" t="s">
        <v>1513</v>
      </c>
      <c r="L2363" s="3">
        <v>0.41666666666666669</v>
      </c>
      <c r="M2363" s="2" t="s">
        <v>1715</v>
      </c>
      <c r="N2363" s="2" t="s">
        <v>500</v>
      </c>
      <c r="O2363" s="2"/>
    </row>
    <row r="2364" spans="1:15" x14ac:dyDescent="0.25">
      <c r="A2364" s="2" t="s">
        <v>15</v>
      </c>
      <c r="B2364" s="2" t="str">
        <f>"FES1162770503"</f>
        <v>FES1162770503</v>
      </c>
      <c r="C2364" s="2" t="s">
        <v>1506</v>
      </c>
      <c r="D2364" s="2">
        <v>1</v>
      </c>
      <c r="E2364" s="2" t="str">
        <f>"2170750577"</f>
        <v>2170750577</v>
      </c>
      <c r="F2364" s="2" t="s">
        <v>17</v>
      </c>
      <c r="G2364" s="2" t="s">
        <v>18</v>
      </c>
      <c r="H2364" s="2" t="s">
        <v>19</v>
      </c>
      <c r="I2364" s="2" t="s">
        <v>111</v>
      </c>
      <c r="J2364" s="2" t="s">
        <v>385</v>
      </c>
      <c r="K2364" s="2" t="s">
        <v>1513</v>
      </c>
      <c r="L2364" s="3">
        <v>0.4375</v>
      </c>
      <c r="M2364" s="2" t="s">
        <v>1198</v>
      </c>
      <c r="N2364" s="2" t="s">
        <v>500</v>
      </c>
      <c r="O2364" s="2"/>
    </row>
    <row r="2365" spans="1:15" x14ac:dyDescent="0.25">
      <c r="A2365" s="2" t="s">
        <v>15</v>
      </c>
      <c r="B2365" s="2" t="str">
        <f>"FES1162770521"</f>
        <v>FES1162770521</v>
      </c>
      <c r="C2365" s="2" t="s">
        <v>1506</v>
      </c>
      <c r="D2365" s="2">
        <v>1</v>
      </c>
      <c r="E2365" s="2" t="str">
        <f>"2170757788"</f>
        <v>2170757788</v>
      </c>
      <c r="F2365" s="2" t="s">
        <v>17</v>
      </c>
      <c r="G2365" s="2" t="s">
        <v>18</v>
      </c>
      <c r="H2365" s="2" t="s">
        <v>19</v>
      </c>
      <c r="I2365" s="2" t="s">
        <v>20</v>
      </c>
      <c r="J2365" s="2" t="s">
        <v>21</v>
      </c>
      <c r="K2365" s="2" t="s">
        <v>1513</v>
      </c>
      <c r="L2365" s="3">
        <v>0.4375</v>
      </c>
      <c r="M2365" s="2" t="s">
        <v>1733</v>
      </c>
      <c r="N2365" s="2" t="s">
        <v>500</v>
      </c>
      <c r="O2365" s="2"/>
    </row>
    <row r="2366" spans="1:15" x14ac:dyDescent="0.25">
      <c r="A2366" s="2" t="s">
        <v>15</v>
      </c>
      <c r="B2366" s="2" t="str">
        <f>"FES1162770496"</f>
        <v>FES1162770496</v>
      </c>
      <c r="C2366" s="2" t="s">
        <v>1506</v>
      </c>
      <c r="D2366" s="2">
        <v>1</v>
      </c>
      <c r="E2366" s="2" t="str">
        <f>"2170757772"</f>
        <v>2170757772</v>
      </c>
      <c r="F2366" s="2" t="s">
        <v>17</v>
      </c>
      <c r="G2366" s="2" t="s">
        <v>18</v>
      </c>
      <c r="H2366" s="2" t="s">
        <v>78</v>
      </c>
      <c r="I2366" s="2" t="s">
        <v>79</v>
      </c>
      <c r="J2366" s="2" t="s">
        <v>80</v>
      </c>
      <c r="K2366" s="2" t="s">
        <v>1513</v>
      </c>
      <c r="L2366" s="3">
        <v>0.37777777777777777</v>
      </c>
      <c r="M2366" s="2" t="s">
        <v>806</v>
      </c>
      <c r="N2366" s="2" t="s">
        <v>500</v>
      </c>
      <c r="O2366" s="2"/>
    </row>
    <row r="2367" spans="1:15" x14ac:dyDescent="0.25">
      <c r="A2367" s="2" t="s">
        <v>15</v>
      </c>
      <c r="B2367" s="2" t="str">
        <f>"FES1162770405"</f>
        <v>FES1162770405</v>
      </c>
      <c r="C2367" s="2" t="s">
        <v>1506</v>
      </c>
      <c r="D2367" s="2">
        <v>1</v>
      </c>
      <c r="E2367" s="2" t="str">
        <f>"2170754171"</f>
        <v>2170754171</v>
      </c>
      <c r="F2367" s="2" t="s">
        <v>17</v>
      </c>
      <c r="G2367" s="2" t="s">
        <v>18</v>
      </c>
      <c r="H2367" s="2" t="s">
        <v>19</v>
      </c>
      <c r="I2367" s="2" t="s">
        <v>20</v>
      </c>
      <c r="J2367" s="2" t="s">
        <v>106</v>
      </c>
      <c r="K2367" s="2" t="s">
        <v>1513</v>
      </c>
      <c r="L2367" s="3">
        <v>0.4375</v>
      </c>
      <c r="M2367" s="2" t="s">
        <v>975</v>
      </c>
      <c r="N2367" s="2" t="s">
        <v>500</v>
      </c>
      <c r="O2367" s="2"/>
    </row>
    <row r="2368" spans="1:15" x14ac:dyDescent="0.25">
      <c r="A2368" s="2" t="s">
        <v>15</v>
      </c>
      <c r="B2368" s="2" t="str">
        <f>"FES1162770495"</f>
        <v>FES1162770495</v>
      </c>
      <c r="C2368" s="2" t="s">
        <v>1506</v>
      </c>
      <c r="D2368" s="2">
        <v>1</v>
      </c>
      <c r="E2368" s="2" t="str">
        <f>"2170757771"</f>
        <v>2170757771</v>
      </c>
      <c r="F2368" s="2" t="s">
        <v>17</v>
      </c>
      <c r="G2368" s="2" t="s">
        <v>18</v>
      </c>
      <c r="H2368" s="2" t="s">
        <v>19</v>
      </c>
      <c r="I2368" s="2" t="s">
        <v>20</v>
      </c>
      <c r="J2368" s="2" t="s">
        <v>767</v>
      </c>
      <c r="K2368" s="2" t="s">
        <v>1513</v>
      </c>
      <c r="L2368" s="3">
        <v>0.4375</v>
      </c>
      <c r="M2368" s="2" t="s">
        <v>1734</v>
      </c>
      <c r="N2368" s="2" t="s">
        <v>500</v>
      </c>
      <c r="O2368" s="2"/>
    </row>
    <row r="2369" spans="1:15" x14ac:dyDescent="0.25">
      <c r="A2369" s="2" t="s">
        <v>15</v>
      </c>
      <c r="B2369" s="2" t="str">
        <f>"FES1162770428"</f>
        <v>FES1162770428</v>
      </c>
      <c r="C2369" s="2" t="s">
        <v>1506</v>
      </c>
      <c r="D2369" s="2">
        <v>1</v>
      </c>
      <c r="E2369" s="2" t="str">
        <f>"2170756619"</f>
        <v>2170756619</v>
      </c>
      <c r="F2369" s="2" t="s">
        <v>17</v>
      </c>
      <c r="G2369" s="2" t="s">
        <v>18</v>
      </c>
      <c r="H2369" s="2" t="s">
        <v>19</v>
      </c>
      <c r="I2369" s="2" t="s">
        <v>111</v>
      </c>
      <c r="J2369" s="2" t="s">
        <v>915</v>
      </c>
      <c r="K2369" s="2" t="s">
        <v>1513</v>
      </c>
      <c r="L2369" s="3">
        <v>0.4375</v>
      </c>
      <c r="M2369" s="2" t="s">
        <v>1735</v>
      </c>
      <c r="N2369" s="2" t="s">
        <v>500</v>
      </c>
      <c r="O2369" s="2"/>
    </row>
    <row r="2370" spans="1:15" x14ac:dyDescent="0.25">
      <c r="A2370" s="2" t="s">
        <v>15</v>
      </c>
      <c r="B2370" s="2" t="str">
        <f>"FES1162770520"</f>
        <v>FES1162770520</v>
      </c>
      <c r="C2370" s="2" t="s">
        <v>1506</v>
      </c>
      <c r="D2370" s="2">
        <v>1</v>
      </c>
      <c r="E2370" s="2" t="str">
        <f>"2170757787"</f>
        <v>2170757787</v>
      </c>
      <c r="F2370" s="2" t="s">
        <v>17</v>
      </c>
      <c r="G2370" s="2" t="s">
        <v>18</v>
      </c>
      <c r="H2370" s="2" t="s">
        <v>19</v>
      </c>
      <c r="I2370" s="2" t="s">
        <v>114</v>
      </c>
      <c r="J2370" s="2" t="s">
        <v>1736</v>
      </c>
      <c r="K2370" s="2" t="s">
        <v>1513</v>
      </c>
      <c r="L2370" s="3">
        <v>0.4375</v>
      </c>
      <c r="M2370" s="2" t="s">
        <v>282</v>
      </c>
      <c r="N2370" s="2" t="s">
        <v>500</v>
      </c>
      <c r="O2370" s="2"/>
    </row>
    <row r="2371" spans="1:15" x14ac:dyDescent="0.25">
      <c r="A2371" s="2" t="s">
        <v>15</v>
      </c>
      <c r="B2371" s="2" t="str">
        <f>"FES1162770488"</f>
        <v>FES1162770488</v>
      </c>
      <c r="C2371" s="2" t="s">
        <v>1506</v>
      </c>
      <c r="D2371" s="2">
        <v>1</v>
      </c>
      <c r="E2371" s="2" t="str">
        <f>"2170757776"</f>
        <v>2170757776</v>
      </c>
      <c r="F2371" s="2" t="s">
        <v>17</v>
      </c>
      <c r="G2371" s="2" t="s">
        <v>18</v>
      </c>
      <c r="H2371" s="2" t="s">
        <v>19</v>
      </c>
      <c r="I2371" s="2" t="s">
        <v>20</v>
      </c>
      <c r="J2371" s="2" t="s">
        <v>123</v>
      </c>
      <c r="K2371" s="2" t="s">
        <v>1513</v>
      </c>
      <c r="L2371" s="3">
        <v>0.4375</v>
      </c>
      <c r="M2371" s="2" t="s">
        <v>1722</v>
      </c>
      <c r="N2371" s="2" t="s">
        <v>500</v>
      </c>
      <c r="O2371" s="2"/>
    </row>
    <row r="2372" spans="1:15" x14ac:dyDescent="0.25">
      <c r="A2372" s="2" t="s">
        <v>15</v>
      </c>
      <c r="B2372" s="2" t="str">
        <f>"FES1162770459"</f>
        <v>FES1162770459</v>
      </c>
      <c r="C2372" s="2" t="s">
        <v>1506</v>
      </c>
      <c r="D2372" s="2">
        <v>1</v>
      </c>
      <c r="E2372" s="2" t="str">
        <f>"2170757722"</f>
        <v>2170757722</v>
      </c>
      <c r="F2372" s="2" t="s">
        <v>17</v>
      </c>
      <c r="G2372" s="2" t="s">
        <v>18</v>
      </c>
      <c r="H2372" s="2" t="s">
        <v>19</v>
      </c>
      <c r="I2372" s="2" t="s">
        <v>20</v>
      </c>
      <c r="J2372" s="2" t="s">
        <v>166</v>
      </c>
      <c r="K2372" s="2" t="s">
        <v>1513</v>
      </c>
      <c r="L2372" s="3">
        <v>0.4375</v>
      </c>
      <c r="M2372" s="2" t="s">
        <v>1737</v>
      </c>
      <c r="N2372" s="2" t="s">
        <v>500</v>
      </c>
      <c r="O2372" s="2"/>
    </row>
    <row r="2373" spans="1:15" x14ac:dyDescent="0.25">
      <c r="A2373" s="2" t="s">
        <v>15</v>
      </c>
      <c r="B2373" s="2" t="str">
        <f>"FES1162770476"</f>
        <v>FES1162770476</v>
      </c>
      <c r="C2373" s="2" t="s">
        <v>1506</v>
      </c>
      <c r="D2373" s="2">
        <v>1</v>
      </c>
      <c r="E2373" s="2" t="str">
        <f>"2170757753"</f>
        <v>2170757753</v>
      </c>
      <c r="F2373" s="2" t="s">
        <v>17</v>
      </c>
      <c r="G2373" s="2" t="s">
        <v>18</v>
      </c>
      <c r="H2373" s="2" t="s">
        <v>19</v>
      </c>
      <c r="I2373" s="2" t="s">
        <v>111</v>
      </c>
      <c r="J2373" s="2" t="s">
        <v>662</v>
      </c>
      <c r="K2373" s="2" t="s">
        <v>1513</v>
      </c>
      <c r="L2373" s="3">
        <v>0.4375</v>
      </c>
      <c r="M2373" s="2" t="s">
        <v>738</v>
      </c>
      <c r="N2373" s="2" t="s">
        <v>500</v>
      </c>
      <c r="O2373" s="2"/>
    </row>
    <row r="2374" spans="1:15" x14ac:dyDescent="0.25">
      <c r="A2374" s="2" t="s">
        <v>15</v>
      </c>
      <c r="B2374" s="2" t="str">
        <f>"FES1162770529"</f>
        <v>FES1162770529</v>
      </c>
      <c r="C2374" s="2" t="s">
        <v>1506</v>
      </c>
      <c r="D2374" s="2">
        <v>1</v>
      </c>
      <c r="E2374" s="2" t="str">
        <f>"2170757797"</f>
        <v>2170757797</v>
      </c>
      <c r="F2374" s="2" t="s">
        <v>205</v>
      </c>
      <c r="G2374" s="2" t="s">
        <v>206</v>
      </c>
      <c r="H2374" s="2" t="s">
        <v>206</v>
      </c>
      <c r="I2374" s="2" t="s">
        <v>1738</v>
      </c>
      <c r="J2374" s="2" t="s">
        <v>1739</v>
      </c>
      <c r="K2374" s="2" t="s">
        <v>1513</v>
      </c>
      <c r="L2374" s="3">
        <v>0.58333333333333337</v>
      </c>
      <c r="M2374" s="2" t="s">
        <v>1740</v>
      </c>
      <c r="N2374" s="2" t="s">
        <v>500</v>
      </c>
      <c r="O2374" s="2"/>
    </row>
    <row r="2375" spans="1:15" x14ac:dyDescent="0.25">
      <c r="A2375" s="2" t="s">
        <v>15</v>
      </c>
      <c r="B2375" s="2" t="str">
        <f>"FES1162770519"</f>
        <v>FES1162770519</v>
      </c>
      <c r="C2375" s="2" t="s">
        <v>1506</v>
      </c>
      <c r="D2375" s="2">
        <v>1</v>
      </c>
      <c r="E2375" s="2" t="str">
        <f>"2170757785"</f>
        <v>2170757785</v>
      </c>
      <c r="F2375" s="2" t="s">
        <v>17</v>
      </c>
      <c r="G2375" s="2" t="s">
        <v>18</v>
      </c>
      <c r="H2375" s="2" t="s">
        <v>36</v>
      </c>
      <c r="I2375" s="2" t="s">
        <v>496</v>
      </c>
      <c r="J2375" s="2" t="s">
        <v>497</v>
      </c>
      <c r="K2375" s="2" t="s">
        <v>1513</v>
      </c>
      <c r="L2375" s="3">
        <v>0.68125000000000002</v>
      </c>
      <c r="M2375" s="2" t="s">
        <v>1176</v>
      </c>
      <c r="N2375" s="2" t="s">
        <v>500</v>
      </c>
      <c r="O2375" s="2"/>
    </row>
    <row r="2376" spans="1:15" x14ac:dyDescent="0.25">
      <c r="A2376" s="2" t="s">
        <v>15</v>
      </c>
      <c r="B2376" s="2" t="str">
        <f>"FES1162770470"</f>
        <v>FES1162770470</v>
      </c>
      <c r="C2376" s="2" t="s">
        <v>1506</v>
      </c>
      <c r="D2376" s="2">
        <v>1</v>
      </c>
      <c r="E2376" s="2" t="str">
        <f>"2170757744"</f>
        <v>2170757744</v>
      </c>
      <c r="F2376" s="2" t="s">
        <v>17</v>
      </c>
      <c r="G2376" s="2" t="s">
        <v>18</v>
      </c>
      <c r="H2376" s="2" t="s">
        <v>19</v>
      </c>
      <c r="I2376" s="2" t="s">
        <v>111</v>
      </c>
      <c r="J2376" s="2" t="s">
        <v>1741</v>
      </c>
      <c r="K2376" s="2" t="s">
        <v>1513</v>
      </c>
      <c r="L2376" s="3">
        <v>0.4375</v>
      </c>
      <c r="M2376" s="2" t="s">
        <v>1742</v>
      </c>
      <c r="N2376" s="2" t="s">
        <v>500</v>
      </c>
      <c r="O2376" s="2"/>
    </row>
    <row r="2377" spans="1:15" x14ac:dyDescent="0.25">
      <c r="A2377" s="2" t="s">
        <v>15</v>
      </c>
      <c r="B2377" s="2" t="str">
        <f>"FES1162770450"</f>
        <v>FES1162770450</v>
      </c>
      <c r="C2377" s="2" t="s">
        <v>1506</v>
      </c>
      <c r="D2377" s="2">
        <v>1</v>
      </c>
      <c r="E2377" s="2" t="str">
        <f>"2170757706"</f>
        <v>2170757706</v>
      </c>
      <c r="F2377" s="2" t="s">
        <v>17</v>
      </c>
      <c r="G2377" s="2" t="s">
        <v>18</v>
      </c>
      <c r="H2377" s="2" t="s">
        <v>33</v>
      </c>
      <c r="I2377" s="2" t="s">
        <v>34</v>
      </c>
      <c r="J2377" s="2" t="s">
        <v>400</v>
      </c>
      <c r="K2377" s="2" t="s">
        <v>1513</v>
      </c>
      <c r="L2377" s="3">
        <v>0.43333333333333335</v>
      </c>
      <c r="M2377" s="2" t="s">
        <v>595</v>
      </c>
      <c r="N2377" s="2" t="s">
        <v>500</v>
      </c>
      <c r="O2377" s="2"/>
    </row>
    <row r="2378" spans="1:15" x14ac:dyDescent="0.25">
      <c r="A2378" s="2" t="s">
        <v>15</v>
      </c>
      <c r="B2378" s="2" t="str">
        <f>"FES1162770512"</f>
        <v>FES1162770512</v>
      </c>
      <c r="C2378" s="2" t="s">
        <v>1506</v>
      </c>
      <c r="D2378" s="2">
        <v>1</v>
      </c>
      <c r="E2378" s="2" t="str">
        <f>"2170755006"</f>
        <v>2170755006</v>
      </c>
      <c r="F2378" s="2" t="s">
        <v>17</v>
      </c>
      <c r="G2378" s="2" t="s">
        <v>18</v>
      </c>
      <c r="H2378" s="2" t="s">
        <v>18</v>
      </c>
      <c r="I2378" s="2" t="s">
        <v>46</v>
      </c>
      <c r="J2378" s="2" t="s">
        <v>1128</v>
      </c>
      <c r="K2378" s="2" t="s">
        <v>1513</v>
      </c>
      <c r="L2378" s="3">
        <v>0.3888888888888889</v>
      </c>
      <c r="M2378" s="2" t="s">
        <v>1743</v>
      </c>
      <c r="N2378" s="2" t="s">
        <v>500</v>
      </c>
      <c r="O2378" s="2"/>
    </row>
    <row r="2379" spans="1:15" x14ac:dyDescent="0.25">
      <c r="A2379" s="2" t="s">
        <v>15</v>
      </c>
      <c r="B2379" s="2" t="str">
        <f>"FES1162770501"</f>
        <v>FES1162770501</v>
      </c>
      <c r="C2379" s="2" t="s">
        <v>1506</v>
      </c>
      <c r="D2379" s="2">
        <v>1</v>
      </c>
      <c r="E2379" s="2" t="str">
        <f>"2170757779"</f>
        <v>2170757779</v>
      </c>
      <c r="F2379" s="2" t="s">
        <v>17</v>
      </c>
      <c r="G2379" s="2" t="s">
        <v>18</v>
      </c>
      <c r="H2379" s="2" t="s">
        <v>19</v>
      </c>
      <c r="I2379" s="2" t="s">
        <v>20</v>
      </c>
      <c r="J2379" s="2" t="s">
        <v>21</v>
      </c>
      <c r="K2379" s="2" t="s">
        <v>1513</v>
      </c>
      <c r="L2379" s="3">
        <v>0.4375</v>
      </c>
      <c r="M2379" s="2" t="s">
        <v>1733</v>
      </c>
      <c r="N2379" s="2" t="s">
        <v>500</v>
      </c>
      <c r="O2379" s="2"/>
    </row>
    <row r="2380" spans="1:15" x14ac:dyDescent="0.25">
      <c r="A2380" s="2" t="s">
        <v>15</v>
      </c>
      <c r="B2380" s="2" t="str">
        <f>"FES1162770462"</f>
        <v>FES1162770462</v>
      </c>
      <c r="C2380" s="2" t="s">
        <v>1506</v>
      </c>
      <c r="D2380" s="2">
        <v>1</v>
      </c>
      <c r="E2380" s="2" t="str">
        <f>"2170757726"</f>
        <v>2170757726</v>
      </c>
      <c r="F2380" s="2" t="s">
        <v>17</v>
      </c>
      <c r="G2380" s="2" t="s">
        <v>18</v>
      </c>
      <c r="H2380" s="2" t="s">
        <v>88</v>
      </c>
      <c r="I2380" s="2" t="s">
        <v>109</v>
      </c>
      <c r="J2380" s="2" t="s">
        <v>1039</v>
      </c>
      <c r="K2380" s="2" t="s">
        <v>1513</v>
      </c>
      <c r="L2380" s="3">
        <v>0.38194444444444442</v>
      </c>
      <c r="M2380" s="2" t="s">
        <v>1744</v>
      </c>
      <c r="N2380" s="2" t="s">
        <v>500</v>
      </c>
      <c r="O2380" s="2"/>
    </row>
    <row r="2381" spans="1:15" x14ac:dyDescent="0.25">
      <c r="A2381" s="2" t="s">
        <v>15</v>
      </c>
      <c r="B2381" s="2" t="str">
        <f>"FES1162770523"</f>
        <v>FES1162770523</v>
      </c>
      <c r="C2381" s="2" t="s">
        <v>1506</v>
      </c>
      <c r="D2381" s="2">
        <v>1</v>
      </c>
      <c r="E2381" s="2" t="str">
        <f>"2170757790"</f>
        <v>2170757790</v>
      </c>
      <c r="F2381" s="2" t="s">
        <v>17</v>
      </c>
      <c r="G2381" s="2" t="s">
        <v>18</v>
      </c>
      <c r="H2381" s="2" t="s">
        <v>18</v>
      </c>
      <c r="I2381" s="2" t="s">
        <v>116</v>
      </c>
      <c r="J2381" s="2" t="s">
        <v>493</v>
      </c>
      <c r="K2381" s="2" t="s">
        <v>1513</v>
      </c>
      <c r="L2381" s="3">
        <v>0.40277777777777773</v>
      </c>
      <c r="M2381" s="2" t="s">
        <v>598</v>
      </c>
      <c r="N2381" s="2" t="s">
        <v>500</v>
      </c>
      <c r="O2381" s="2"/>
    </row>
    <row r="2382" spans="1:15" x14ac:dyDescent="0.25">
      <c r="A2382" s="2" t="s">
        <v>15</v>
      </c>
      <c r="B2382" s="2" t="str">
        <f>"FES1162770515"</f>
        <v>FES1162770515</v>
      </c>
      <c r="C2382" s="2" t="s">
        <v>1506</v>
      </c>
      <c r="D2382" s="2">
        <v>1</v>
      </c>
      <c r="E2382" s="2" t="str">
        <f>"2170756981"</f>
        <v>2170756981</v>
      </c>
      <c r="F2382" s="2" t="s">
        <v>17</v>
      </c>
      <c r="G2382" s="2" t="s">
        <v>18</v>
      </c>
      <c r="H2382" s="2" t="s">
        <v>88</v>
      </c>
      <c r="I2382" s="2" t="s">
        <v>612</v>
      </c>
      <c r="J2382" s="2" t="s">
        <v>1126</v>
      </c>
      <c r="K2382" s="2" t="s">
        <v>1513</v>
      </c>
      <c r="L2382" s="3">
        <v>0.64583333333333337</v>
      </c>
      <c r="M2382" s="2" t="s">
        <v>1567</v>
      </c>
      <c r="N2382" s="2" t="s">
        <v>500</v>
      </c>
      <c r="O2382" s="2"/>
    </row>
    <row r="2383" spans="1:15" x14ac:dyDescent="0.25">
      <c r="A2383" s="2" t="s">
        <v>15</v>
      </c>
      <c r="B2383" s="2" t="str">
        <f>"009940283620"</f>
        <v>009940283620</v>
      </c>
      <c r="C2383" s="2" t="s">
        <v>1506</v>
      </c>
      <c r="D2383" s="2">
        <v>1</v>
      </c>
      <c r="E2383" s="2" t="str">
        <f>"1162769761"</f>
        <v>1162769761</v>
      </c>
      <c r="F2383" s="2" t="s">
        <v>17</v>
      </c>
      <c r="G2383" s="2" t="s">
        <v>18</v>
      </c>
      <c r="H2383" s="2" t="s">
        <v>88</v>
      </c>
      <c r="I2383" s="2" t="s">
        <v>89</v>
      </c>
      <c r="J2383" s="2" t="s">
        <v>909</v>
      </c>
      <c r="K2383" s="2" t="s">
        <v>1513</v>
      </c>
      <c r="L2383" s="3">
        <v>0.76736111111111116</v>
      </c>
      <c r="M2383" s="2" t="s">
        <v>1257</v>
      </c>
      <c r="N2383" s="2" t="s">
        <v>500</v>
      </c>
      <c r="O2383" s="2"/>
    </row>
    <row r="2384" spans="1:15" x14ac:dyDescent="0.25">
      <c r="A2384" s="2" t="s">
        <v>15</v>
      </c>
      <c r="B2384" s="2" t="str">
        <f>"FES1162770545"</f>
        <v>FES1162770545</v>
      </c>
      <c r="C2384" s="2" t="s">
        <v>1506</v>
      </c>
      <c r="D2384" s="2">
        <v>1</v>
      </c>
      <c r="E2384" s="2" t="str">
        <f>"2170757812"</f>
        <v>2170757812</v>
      </c>
      <c r="F2384" s="2" t="s">
        <v>17</v>
      </c>
      <c r="G2384" s="2" t="s">
        <v>18</v>
      </c>
      <c r="H2384" s="2" t="s">
        <v>25</v>
      </c>
      <c r="I2384" s="2" t="s">
        <v>26</v>
      </c>
      <c r="J2384" s="2" t="s">
        <v>427</v>
      </c>
      <c r="K2384" s="2" t="s">
        <v>1513</v>
      </c>
      <c r="L2384" s="3">
        <v>0.41666666666666669</v>
      </c>
      <c r="M2384" s="2" t="s">
        <v>1835</v>
      </c>
      <c r="N2384" s="2" t="s">
        <v>500</v>
      </c>
      <c r="O2384" s="2"/>
    </row>
    <row r="2385" spans="1:15" x14ac:dyDescent="0.25">
      <c r="A2385" s="2" t="s">
        <v>15</v>
      </c>
      <c r="B2385" s="2" t="str">
        <f>"FES1162770560"</f>
        <v>FES1162770560</v>
      </c>
      <c r="C2385" s="2" t="s">
        <v>1506</v>
      </c>
      <c r="D2385" s="2">
        <v>1</v>
      </c>
      <c r="E2385" s="2" t="str">
        <f>"2170757828"</f>
        <v>2170757828</v>
      </c>
      <c r="F2385" s="2" t="s">
        <v>17</v>
      </c>
      <c r="G2385" s="2" t="s">
        <v>18</v>
      </c>
      <c r="H2385" s="2" t="s">
        <v>25</v>
      </c>
      <c r="I2385" s="2" t="s">
        <v>26</v>
      </c>
      <c r="J2385" s="2" t="s">
        <v>75</v>
      </c>
      <c r="K2385" s="2" t="s">
        <v>1513</v>
      </c>
      <c r="L2385" s="3">
        <v>0.41666666666666669</v>
      </c>
      <c r="M2385" s="2" t="s">
        <v>1833</v>
      </c>
      <c r="N2385" s="2" t="s">
        <v>500</v>
      </c>
      <c r="O2385" s="2"/>
    </row>
    <row r="2386" spans="1:15" x14ac:dyDescent="0.25">
      <c r="A2386" s="2" t="s">
        <v>15</v>
      </c>
      <c r="B2386" s="2" t="str">
        <f>"FES1162770549"</f>
        <v>FES1162770549</v>
      </c>
      <c r="C2386" s="2" t="s">
        <v>1506</v>
      </c>
      <c r="D2386" s="2">
        <v>1</v>
      </c>
      <c r="E2386" s="2" t="str">
        <f>"2170757817"</f>
        <v>2170757817</v>
      </c>
      <c r="F2386" s="2" t="s">
        <v>17</v>
      </c>
      <c r="G2386" s="2" t="s">
        <v>18</v>
      </c>
      <c r="H2386" s="2" t="s">
        <v>25</v>
      </c>
      <c r="I2386" s="2" t="s">
        <v>125</v>
      </c>
      <c r="J2386" s="2" t="s">
        <v>126</v>
      </c>
      <c r="K2386" s="2" t="s">
        <v>1513</v>
      </c>
      <c r="L2386" s="3">
        <v>0.41666666666666669</v>
      </c>
      <c r="M2386" s="2" t="s">
        <v>1836</v>
      </c>
      <c r="N2386" s="2" t="s">
        <v>500</v>
      </c>
      <c r="O2386" s="2"/>
    </row>
    <row r="2387" spans="1:15" x14ac:dyDescent="0.25">
      <c r="A2387" s="2" t="s">
        <v>15</v>
      </c>
      <c r="B2387" s="2" t="str">
        <f>"FES1162770553"</f>
        <v>FES1162770553</v>
      </c>
      <c r="C2387" s="2" t="s">
        <v>1506</v>
      </c>
      <c r="D2387" s="2">
        <v>1</v>
      </c>
      <c r="E2387" s="2" t="str">
        <f>"2170757824"</f>
        <v>2170757824</v>
      </c>
      <c r="F2387" s="2" t="s">
        <v>17</v>
      </c>
      <c r="G2387" s="2" t="s">
        <v>18</v>
      </c>
      <c r="H2387" s="2" t="s">
        <v>25</v>
      </c>
      <c r="I2387" s="2" t="s">
        <v>26</v>
      </c>
      <c r="J2387" s="2" t="s">
        <v>474</v>
      </c>
      <c r="K2387" s="2" t="s">
        <v>1513</v>
      </c>
      <c r="L2387" s="3">
        <v>0.41666666666666669</v>
      </c>
      <c r="M2387" s="2" t="s">
        <v>1168</v>
      </c>
      <c r="N2387" s="2" t="s">
        <v>500</v>
      </c>
      <c r="O2387" s="2"/>
    </row>
    <row r="2388" spans="1:15" x14ac:dyDescent="0.25">
      <c r="A2388" s="2" t="s">
        <v>15</v>
      </c>
      <c r="B2388" s="2" t="str">
        <f>"FES1162770572"</f>
        <v>FES1162770572</v>
      </c>
      <c r="C2388" s="2" t="s">
        <v>1506</v>
      </c>
      <c r="D2388" s="2">
        <v>1</v>
      </c>
      <c r="E2388" s="2" t="str">
        <f>"2170757843"</f>
        <v>2170757843</v>
      </c>
      <c r="F2388" s="2" t="s">
        <v>17</v>
      </c>
      <c r="G2388" s="2" t="s">
        <v>18</v>
      </c>
      <c r="H2388" s="2" t="s">
        <v>25</v>
      </c>
      <c r="I2388" s="2" t="s">
        <v>26</v>
      </c>
      <c r="J2388" s="2" t="s">
        <v>70</v>
      </c>
      <c r="K2388" s="2" t="s">
        <v>1513</v>
      </c>
      <c r="L2388" s="3">
        <v>0.41666666666666669</v>
      </c>
      <c r="M2388" s="2" t="s">
        <v>1837</v>
      </c>
      <c r="N2388" s="2" t="s">
        <v>500</v>
      </c>
      <c r="O2388" s="2"/>
    </row>
    <row r="2389" spans="1:15" x14ac:dyDescent="0.25">
      <c r="A2389" s="2" t="s">
        <v>15</v>
      </c>
      <c r="B2389" s="2" t="str">
        <f>"FES1162770546"</f>
        <v>FES1162770546</v>
      </c>
      <c r="C2389" s="2" t="s">
        <v>1506</v>
      </c>
      <c r="D2389" s="2">
        <v>1</v>
      </c>
      <c r="E2389" s="2" t="str">
        <f>"2170753125"</f>
        <v>2170753125</v>
      </c>
      <c r="F2389" s="2" t="s">
        <v>17</v>
      </c>
      <c r="G2389" s="2" t="s">
        <v>18</v>
      </c>
      <c r="H2389" s="2" t="s">
        <v>25</v>
      </c>
      <c r="I2389" s="2" t="s">
        <v>26</v>
      </c>
      <c r="J2389" s="2" t="s">
        <v>27</v>
      </c>
      <c r="K2389" s="2" t="s">
        <v>1513</v>
      </c>
      <c r="L2389" s="3">
        <v>0.41666666666666669</v>
      </c>
      <c r="M2389" s="2" t="s">
        <v>1838</v>
      </c>
      <c r="N2389" s="2" t="s">
        <v>500</v>
      </c>
      <c r="O2389" s="2"/>
    </row>
    <row r="2390" spans="1:15" x14ac:dyDescent="0.25">
      <c r="A2390" s="2" t="s">
        <v>15</v>
      </c>
      <c r="B2390" s="2" t="str">
        <f>"FES1162770414"</f>
        <v>FES1162770414</v>
      </c>
      <c r="C2390" s="2" t="s">
        <v>1506</v>
      </c>
      <c r="D2390" s="2">
        <v>1</v>
      </c>
      <c r="E2390" s="2" t="str">
        <f>"2170756262"</f>
        <v>2170756262</v>
      </c>
      <c r="F2390" s="2" t="s">
        <v>17</v>
      </c>
      <c r="G2390" s="2" t="s">
        <v>18</v>
      </c>
      <c r="H2390" s="2" t="s">
        <v>25</v>
      </c>
      <c r="I2390" s="2" t="s">
        <v>26</v>
      </c>
      <c r="J2390" s="2" t="s">
        <v>75</v>
      </c>
      <c r="K2390" s="2" t="s">
        <v>1513</v>
      </c>
      <c r="L2390" s="3">
        <v>0.41666666666666669</v>
      </c>
      <c r="M2390" s="2" t="s">
        <v>1833</v>
      </c>
      <c r="N2390" s="2" t="s">
        <v>500</v>
      </c>
      <c r="O2390" s="2"/>
    </row>
    <row r="2391" spans="1:15" x14ac:dyDescent="0.25">
      <c r="A2391" s="2" t="s">
        <v>15</v>
      </c>
      <c r="B2391" s="2" t="str">
        <f>"FES1162770411"</f>
        <v>FES1162770411</v>
      </c>
      <c r="C2391" s="2" t="s">
        <v>1506</v>
      </c>
      <c r="D2391" s="2">
        <v>1</v>
      </c>
      <c r="E2391" s="2" t="str">
        <f>"2170757469"</f>
        <v>2170757469</v>
      </c>
      <c r="F2391" s="2" t="s">
        <v>17</v>
      </c>
      <c r="G2391" s="2" t="s">
        <v>18</v>
      </c>
      <c r="H2391" s="2" t="s">
        <v>36</v>
      </c>
      <c r="I2391" s="2" t="s">
        <v>37</v>
      </c>
      <c r="J2391" s="2" t="s">
        <v>55</v>
      </c>
      <c r="K2391" s="2" t="s">
        <v>1513</v>
      </c>
      <c r="L2391" s="3">
        <v>0.38055555555555554</v>
      </c>
      <c r="M2391" s="2" t="s">
        <v>1745</v>
      </c>
      <c r="N2391" s="2" t="s">
        <v>500</v>
      </c>
      <c r="O2391" s="2"/>
    </row>
    <row r="2392" spans="1:15" x14ac:dyDescent="0.25">
      <c r="A2392" s="2" t="s">
        <v>15</v>
      </c>
      <c r="B2392" s="2" t="str">
        <f>"FES1162770540"</f>
        <v>FES1162770540</v>
      </c>
      <c r="C2392" s="2" t="s">
        <v>1506</v>
      </c>
      <c r="D2392" s="2">
        <v>1</v>
      </c>
      <c r="E2392" s="2" t="str">
        <f>"2170757795"</f>
        <v>2170757795</v>
      </c>
      <c r="F2392" s="2" t="s">
        <v>17</v>
      </c>
      <c r="G2392" s="2" t="s">
        <v>18</v>
      </c>
      <c r="H2392" s="2" t="s">
        <v>18</v>
      </c>
      <c r="I2392" s="2" t="s">
        <v>46</v>
      </c>
      <c r="J2392" s="2" t="s">
        <v>670</v>
      </c>
      <c r="K2392" s="2" t="s">
        <v>1513</v>
      </c>
      <c r="L2392" s="3">
        <v>0.3263888888888889</v>
      </c>
      <c r="M2392" s="2" t="s">
        <v>1746</v>
      </c>
      <c r="N2392" s="2" t="s">
        <v>500</v>
      </c>
      <c r="O2392" s="2"/>
    </row>
    <row r="2393" spans="1:15" x14ac:dyDescent="0.25">
      <c r="A2393" s="2" t="s">
        <v>15</v>
      </c>
      <c r="B2393" s="2" t="str">
        <f>"FES1162770413"</f>
        <v>FES1162770413</v>
      </c>
      <c r="C2393" s="2" t="s">
        <v>1506</v>
      </c>
      <c r="D2393" s="2">
        <v>1</v>
      </c>
      <c r="E2393" s="2" t="str">
        <f>"2170753211"</f>
        <v>2170753211</v>
      </c>
      <c r="F2393" s="2" t="s">
        <v>17</v>
      </c>
      <c r="G2393" s="2" t="s">
        <v>18</v>
      </c>
      <c r="H2393" s="2" t="s">
        <v>36</v>
      </c>
      <c r="I2393" s="2" t="s">
        <v>37</v>
      </c>
      <c r="J2393" s="2" t="s">
        <v>162</v>
      </c>
      <c r="K2393" s="2" t="s">
        <v>1513</v>
      </c>
      <c r="L2393" s="3">
        <v>0.33333333333333331</v>
      </c>
      <c r="M2393" s="2" t="s">
        <v>1099</v>
      </c>
      <c r="N2393" s="2" t="s">
        <v>500</v>
      </c>
      <c r="O2393" s="2"/>
    </row>
    <row r="2394" spans="1:15" x14ac:dyDescent="0.25">
      <c r="A2394" s="2" t="s">
        <v>15</v>
      </c>
      <c r="B2394" s="2" t="str">
        <f>"FES1162770457"</f>
        <v>FES1162770457</v>
      </c>
      <c r="C2394" s="2" t="s">
        <v>1506</v>
      </c>
      <c r="D2394" s="2">
        <v>1</v>
      </c>
      <c r="E2394" s="2" t="str">
        <f>"2170757718"</f>
        <v>2170757718</v>
      </c>
      <c r="F2394" s="2" t="s">
        <v>17</v>
      </c>
      <c r="G2394" s="2" t="s">
        <v>18</v>
      </c>
      <c r="H2394" s="2" t="s">
        <v>33</v>
      </c>
      <c r="I2394" s="2" t="s">
        <v>34</v>
      </c>
      <c r="J2394" s="2" t="s">
        <v>317</v>
      </c>
      <c r="K2394" s="2" t="s">
        <v>1513</v>
      </c>
      <c r="L2394" s="3">
        <v>0.43333333333333335</v>
      </c>
      <c r="M2394" s="2" t="s">
        <v>325</v>
      </c>
      <c r="N2394" s="2" t="s">
        <v>500</v>
      </c>
      <c r="O2394" s="2"/>
    </row>
    <row r="2395" spans="1:15" x14ac:dyDescent="0.25">
      <c r="A2395" s="2" t="s">
        <v>15</v>
      </c>
      <c r="B2395" s="2" t="str">
        <f>"FES1162770535"</f>
        <v>FES1162770535</v>
      </c>
      <c r="C2395" s="2" t="s">
        <v>1506</v>
      </c>
      <c r="D2395" s="2">
        <v>1</v>
      </c>
      <c r="E2395" s="2" t="str">
        <f>"2170756891"</f>
        <v>2170756891</v>
      </c>
      <c r="F2395" s="2" t="s">
        <v>17</v>
      </c>
      <c r="G2395" s="2" t="s">
        <v>18</v>
      </c>
      <c r="H2395" s="2" t="s">
        <v>36</v>
      </c>
      <c r="I2395" s="2" t="s">
        <v>37</v>
      </c>
      <c r="J2395" s="2" t="s">
        <v>1421</v>
      </c>
      <c r="K2395" s="2" t="s">
        <v>1513</v>
      </c>
      <c r="L2395" s="3">
        <v>0.58472222222222225</v>
      </c>
      <c r="M2395" s="2" t="s">
        <v>1747</v>
      </c>
      <c r="N2395" s="2" t="s">
        <v>500</v>
      </c>
      <c r="O2395" s="2"/>
    </row>
    <row r="2396" spans="1:15" x14ac:dyDescent="0.25">
      <c r="A2396" s="2" t="s">
        <v>15</v>
      </c>
      <c r="B2396" s="2" t="str">
        <f>"FES1162770531"</f>
        <v>FES1162770531</v>
      </c>
      <c r="C2396" s="2" t="s">
        <v>1506</v>
      </c>
      <c r="D2396" s="2">
        <v>1</v>
      </c>
      <c r="E2396" s="2" t="str">
        <f>"2170757437"</f>
        <v>2170757437</v>
      </c>
      <c r="F2396" s="2" t="s">
        <v>17</v>
      </c>
      <c r="G2396" s="2" t="s">
        <v>18</v>
      </c>
      <c r="H2396" s="2" t="s">
        <v>1433</v>
      </c>
      <c r="I2396" s="2" t="s">
        <v>1748</v>
      </c>
      <c r="J2396" s="2" t="s">
        <v>1749</v>
      </c>
      <c r="K2396" s="2" t="s">
        <v>1513</v>
      </c>
      <c r="L2396" s="3">
        <v>0.37222222222222223</v>
      </c>
      <c r="M2396" s="2" t="s">
        <v>1839</v>
      </c>
      <c r="N2396" s="2" t="s">
        <v>500</v>
      </c>
      <c r="O2396" s="2"/>
    </row>
    <row r="2397" spans="1:15" x14ac:dyDescent="0.25">
      <c r="A2397" s="2" t="s">
        <v>15</v>
      </c>
      <c r="B2397" s="2" t="str">
        <f>"FES1162770445"</f>
        <v>FES1162770445</v>
      </c>
      <c r="C2397" s="2" t="s">
        <v>1506</v>
      </c>
      <c r="D2397" s="2">
        <v>1</v>
      </c>
      <c r="E2397" s="2" t="str">
        <f>"2170757694"</f>
        <v>2170757694</v>
      </c>
      <c r="F2397" s="2" t="s">
        <v>17</v>
      </c>
      <c r="G2397" s="2" t="s">
        <v>18</v>
      </c>
      <c r="H2397" s="2" t="s">
        <v>36</v>
      </c>
      <c r="I2397" s="2" t="s">
        <v>37</v>
      </c>
      <c r="J2397" s="2" t="s">
        <v>102</v>
      </c>
      <c r="K2397" s="2" t="s">
        <v>1513</v>
      </c>
      <c r="L2397" s="3">
        <v>0.55347222222222225</v>
      </c>
      <c r="M2397" s="2" t="s">
        <v>1668</v>
      </c>
      <c r="N2397" s="2" t="s">
        <v>500</v>
      </c>
      <c r="O2397" s="2"/>
    </row>
    <row r="2398" spans="1:15" x14ac:dyDescent="0.25">
      <c r="A2398" s="2" t="s">
        <v>15</v>
      </c>
      <c r="B2398" s="2" t="str">
        <f>"FES1162770412"</f>
        <v>FES1162770412</v>
      </c>
      <c r="C2398" s="2" t="s">
        <v>1506</v>
      </c>
      <c r="D2398" s="2">
        <v>1</v>
      </c>
      <c r="E2398" s="2" t="str">
        <f>"2170757323"</f>
        <v>2170757323</v>
      </c>
      <c r="F2398" s="2" t="s">
        <v>17</v>
      </c>
      <c r="G2398" s="2" t="s">
        <v>18</v>
      </c>
      <c r="H2398" s="2" t="s">
        <v>25</v>
      </c>
      <c r="I2398" s="2" t="s">
        <v>1445</v>
      </c>
      <c r="J2398" s="2" t="s">
        <v>1750</v>
      </c>
      <c r="K2398" s="2" t="s">
        <v>1513</v>
      </c>
      <c r="L2398" s="3">
        <v>0.41666666666666669</v>
      </c>
      <c r="M2398" s="2" t="s">
        <v>1840</v>
      </c>
      <c r="N2398" s="2" t="s">
        <v>500</v>
      </c>
      <c r="O2398" s="2"/>
    </row>
    <row r="2399" spans="1:15" x14ac:dyDescent="0.25">
      <c r="A2399" s="2" t="s">
        <v>15</v>
      </c>
      <c r="B2399" s="2" t="str">
        <f>"FES1162770458"</f>
        <v>FES1162770458</v>
      </c>
      <c r="C2399" s="2" t="s">
        <v>1506</v>
      </c>
      <c r="D2399" s="2">
        <v>1</v>
      </c>
      <c r="E2399" s="2" t="str">
        <f>"2170757719"</f>
        <v>2170757719</v>
      </c>
      <c r="F2399" s="2" t="s">
        <v>17</v>
      </c>
      <c r="G2399" s="2" t="s">
        <v>18</v>
      </c>
      <c r="H2399" s="2" t="s">
        <v>18</v>
      </c>
      <c r="I2399" s="2" t="s">
        <v>63</v>
      </c>
      <c r="J2399" s="2" t="s">
        <v>1751</v>
      </c>
      <c r="K2399" s="2" t="s">
        <v>1513</v>
      </c>
      <c r="L2399" s="3">
        <v>0.33333333333333331</v>
      </c>
      <c r="M2399" s="2" t="s">
        <v>1752</v>
      </c>
      <c r="N2399" s="2" t="s">
        <v>500</v>
      </c>
      <c r="O2399" s="2"/>
    </row>
    <row r="2400" spans="1:15" x14ac:dyDescent="0.25">
      <c r="A2400" s="2" t="s">
        <v>15</v>
      </c>
      <c r="B2400" s="2" t="str">
        <f>"FES1162770541"</f>
        <v>FES1162770541</v>
      </c>
      <c r="C2400" s="2" t="s">
        <v>1506</v>
      </c>
      <c r="D2400" s="2">
        <v>1</v>
      </c>
      <c r="E2400" s="2" t="str">
        <f>"2170757805"</f>
        <v>2170757805</v>
      </c>
      <c r="F2400" s="2" t="s">
        <v>17</v>
      </c>
      <c r="G2400" s="2" t="s">
        <v>18</v>
      </c>
      <c r="H2400" s="2" t="s">
        <v>18</v>
      </c>
      <c r="I2400" s="2" t="s">
        <v>50</v>
      </c>
      <c r="J2400" s="2" t="s">
        <v>1461</v>
      </c>
      <c r="K2400" s="2" t="s">
        <v>1762</v>
      </c>
      <c r="L2400" s="3">
        <v>0.47222222222222227</v>
      </c>
      <c r="M2400" s="2" t="s">
        <v>1841</v>
      </c>
      <c r="N2400" s="2" t="s">
        <v>500</v>
      </c>
      <c r="O2400" s="2"/>
    </row>
    <row r="2401" spans="1:15" x14ac:dyDescent="0.25">
      <c r="A2401" s="2" t="s">
        <v>15</v>
      </c>
      <c r="B2401" s="2" t="str">
        <f>"FES1162770528"</f>
        <v>FES1162770528</v>
      </c>
      <c r="C2401" s="2" t="s">
        <v>1506</v>
      </c>
      <c r="D2401" s="2">
        <v>1</v>
      </c>
      <c r="E2401" s="2" t="str">
        <f>"2170757796"</f>
        <v>2170757796</v>
      </c>
      <c r="F2401" s="2" t="s">
        <v>17</v>
      </c>
      <c r="G2401" s="2" t="s">
        <v>18</v>
      </c>
      <c r="H2401" s="2" t="s">
        <v>18</v>
      </c>
      <c r="I2401" s="2" t="s">
        <v>459</v>
      </c>
      <c r="J2401" s="2" t="s">
        <v>1317</v>
      </c>
      <c r="K2401" s="2" t="s">
        <v>1513</v>
      </c>
      <c r="L2401" s="3">
        <v>0.4375</v>
      </c>
      <c r="M2401" s="2" t="s">
        <v>559</v>
      </c>
      <c r="N2401" s="2" t="s">
        <v>500</v>
      </c>
      <c r="O2401" s="2"/>
    </row>
    <row r="2402" spans="1:15" x14ac:dyDescent="0.25">
      <c r="A2402" s="2" t="s">
        <v>15</v>
      </c>
      <c r="B2402" s="2" t="str">
        <f>"FES1162770522"</f>
        <v>FES1162770522</v>
      </c>
      <c r="C2402" s="2" t="s">
        <v>1506</v>
      </c>
      <c r="D2402" s="2">
        <v>1</v>
      </c>
      <c r="E2402" s="2" t="str">
        <f>"2170757789"</f>
        <v>2170757789</v>
      </c>
      <c r="F2402" s="2" t="s">
        <v>17</v>
      </c>
      <c r="G2402" s="2" t="s">
        <v>18</v>
      </c>
      <c r="H2402" s="2" t="s">
        <v>19</v>
      </c>
      <c r="I2402" s="2" t="s">
        <v>20</v>
      </c>
      <c r="J2402" s="2" t="s">
        <v>1753</v>
      </c>
      <c r="K2402" s="2" t="s">
        <v>1513</v>
      </c>
      <c r="L2402" s="3">
        <v>0.4375</v>
      </c>
      <c r="M2402" s="2" t="s">
        <v>1754</v>
      </c>
      <c r="N2402" s="2" t="s">
        <v>500</v>
      </c>
      <c r="O2402" s="2"/>
    </row>
    <row r="2403" spans="1:15" x14ac:dyDescent="0.25">
      <c r="A2403" s="2" t="s">
        <v>15</v>
      </c>
      <c r="B2403" s="2" t="str">
        <f>"FES1162770527"</f>
        <v>FES1162770527</v>
      </c>
      <c r="C2403" s="2" t="s">
        <v>1506</v>
      </c>
      <c r="D2403" s="2">
        <v>1</v>
      </c>
      <c r="E2403" s="2" t="str">
        <f>"2170757794"</f>
        <v>2170757794</v>
      </c>
      <c r="F2403" s="2" t="s">
        <v>17</v>
      </c>
      <c r="G2403" s="2" t="s">
        <v>18</v>
      </c>
      <c r="H2403" s="2" t="s">
        <v>18</v>
      </c>
      <c r="I2403" s="2" t="s">
        <v>46</v>
      </c>
      <c r="J2403" s="2" t="s">
        <v>139</v>
      </c>
      <c r="K2403" s="2" t="s">
        <v>1513</v>
      </c>
      <c r="L2403" s="3">
        <v>0.43402777777777773</v>
      </c>
      <c r="M2403" s="2" t="s">
        <v>1731</v>
      </c>
      <c r="N2403" s="2" t="s">
        <v>500</v>
      </c>
      <c r="O2403" s="2"/>
    </row>
    <row r="2404" spans="1:15" x14ac:dyDescent="0.25">
      <c r="A2404" s="2" t="s">
        <v>15</v>
      </c>
      <c r="B2404" s="2" t="str">
        <f>"FES1162770511"</f>
        <v>FES1162770511</v>
      </c>
      <c r="C2404" s="2" t="s">
        <v>1506</v>
      </c>
      <c r="D2404" s="2">
        <v>1</v>
      </c>
      <c r="E2404" s="2" t="str">
        <f>"2170755000"</f>
        <v>2170755000</v>
      </c>
      <c r="F2404" s="2" t="s">
        <v>17</v>
      </c>
      <c r="G2404" s="2" t="s">
        <v>18</v>
      </c>
      <c r="H2404" s="2" t="s">
        <v>88</v>
      </c>
      <c r="I2404" s="2" t="s">
        <v>109</v>
      </c>
      <c r="J2404" s="2" t="s">
        <v>110</v>
      </c>
      <c r="K2404" s="2" t="s">
        <v>1513</v>
      </c>
      <c r="L2404" s="3">
        <v>0.4152777777777778</v>
      </c>
      <c r="M2404" s="2" t="s">
        <v>1755</v>
      </c>
      <c r="N2404" s="2" t="s">
        <v>500</v>
      </c>
      <c r="O2404" s="2"/>
    </row>
    <row r="2405" spans="1:15" x14ac:dyDescent="0.25">
      <c r="A2405" s="2" t="s">
        <v>15</v>
      </c>
      <c r="B2405" s="2" t="str">
        <f>"FES1162770508"</f>
        <v>FES1162770508</v>
      </c>
      <c r="C2405" s="2" t="s">
        <v>1506</v>
      </c>
      <c r="D2405" s="2">
        <v>1</v>
      </c>
      <c r="E2405" s="2" t="str">
        <f>"2170754727"</f>
        <v>2170754727</v>
      </c>
      <c r="F2405" s="2" t="s">
        <v>17</v>
      </c>
      <c r="G2405" s="2" t="s">
        <v>18</v>
      </c>
      <c r="H2405" s="2" t="s">
        <v>88</v>
      </c>
      <c r="I2405" s="2" t="s">
        <v>109</v>
      </c>
      <c r="J2405" s="2" t="s">
        <v>890</v>
      </c>
      <c r="K2405" s="2" t="s">
        <v>1513</v>
      </c>
      <c r="L2405" s="3">
        <v>0.38194444444444442</v>
      </c>
      <c r="M2405" s="2" t="s">
        <v>1756</v>
      </c>
      <c r="N2405" s="2" t="s">
        <v>500</v>
      </c>
      <c r="O2405" s="2"/>
    </row>
    <row r="2406" spans="1:15" x14ac:dyDescent="0.25">
      <c r="A2406" s="2" t="s">
        <v>15</v>
      </c>
      <c r="B2406" s="2" t="str">
        <f>"FES1162770444"</f>
        <v>FES1162770444</v>
      </c>
      <c r="C2406" s="2" t="s">
        <v>1506</v>
      </c>
      <c r="D2406" s="2">
        <v>1</v>
      </c>
      <c r="E2406" s="2" t="str">
        <f>"2170757679"</f>
        <v>2170757679</v>
      </c>
      <c r="F2406" s="2" t="s">
        <v>17</v>
      </c>
      <c r="G2406" s="2" t="s">
        <v>18</v>
      </c>
      <c r="H2406" s="2" t="s">
        <v>18</v>
      </c>
      <c r="I2406" s="2" t="s">
        <v>57</v>
      </c>
      <c r="J2406" s="2" t="s">
        <v>903</v>
      </c>
      <c r="K2406" s="2" t="s">
        <v>1762</v>
      </c>
      <c r="L2406" s="3">
        <v>0.32569444444444445</v>
      </c>
      <c r="M2406" s="2" t="s">
        <v>1842</v>
      </c>
      <c r="N2406" s="2" t="s">
        <v>500</v>
      </c>
      <c r="O2406" s="2"/>
    </row>
    <row r="2407" spans="1:15" x14ac:dyDescent="0.25">
      <c r="A2407" s="2" t="s">
        <v>15</v>
      </c>
      <c r="B2407" s="2" t="str">
        <f>"FES1162770552"</f>
        <v>FES1162770552</v>
      </c>
      <c r="C2407" s="2" t="s">
        <v>1506</v>
      </c>
      <c r="D2407" s="2">
        <v>1</v>
      </c>
      <c r="E2407" s="2" t="str">
        <f>"2170757823"</f>
        <v>2170757823</v>
      </c>
      <c r="F2407" s="2" t="s">
        <v>17</v>
      </c>
      <c r="G2407" s="2" t="s">
        <v>18</v>
      </c>
      <c r="H2407" s="2" t="s">
        <v>18</v>
      </c>
      <c r="I2407" s="2" t="s">
        <v>290</v>
      </c>
      <c r="J2407" s="2" t="s">
        <v>420</v>
      </c>
      <c r="K2407" s="2" t="s">
        <v>1513</v>
      </c>
      <c r="L2407" s="3">
        <v>0.375</v>
      </c>
      <c r="M2407" s="2" t="s">
        <v>1757</v>
      </c>
      <c r="N2407" s="2" t="s">
        <v>500</v>
      </c>
      <c r="O2407" s="2"/>
    </row>
    <row r="2408" spans="1:15" x14ac:dyDescent="0.25">
      <c r="A2408" s="2" t="s">
        <v>15</v>
      </c>
      <c r="B2408" s="2" t="str">
        <f>"FES1162770436"</f>
        <v>FES1162770436</v>
      </c>
      <c r="C2408" s="2" t="s">
        <v>1506</v>
      </c>
      <c r="D2408" s="2">
        <v>1</v>
      </c>
      <c r="E2408" s="2" t="str">
        <f>"2170757072"</f>
        <v>2170757072</v>
      </c>
      <c r="F2408" s="2" t="s">
        <v>17</v>
      </c>
      <c r="G2408" s="2" t="s">
        <v>18</v>
      </c>
      <c r="H2408" s="2" t="s">
        <v>25</v>
      </c>
      <c r="I2408" s="2" t="s">
        <v>26</v>
      </c>
      <c r="J2408" s="2" t="s">
        <v>1146</v>
      </c>
      <c r="K2408" s="2" t="s">
        <v>1513</v>
      </c>
      <c r="L2408" s="3">
        <v>0.41666666666666669</v>
      </c>
      <c r="M2408" s="2" t="s">
        <v>1706</v>
      </c>
      <c r="N2408" s="2" t="s">
        <v>500</v>
      </c>
      <c r="O2408" s="2"/>
    </row>
    <row r="2409" spans="1:15" x14ac:dyDescent="0.25">
      <c r="A2409" s="2" t="s">
        <v>15</v>
      </c>
      <c r="B2409" s="2" t="str">
        <f>"FES1162770548"</f>
        <v>FES1162770548</v>
      </c>
      <c r="C2409" s="2" t="s">
        <v>1506</v>
      </c>
      <c r="D2409" s="2">
        <v>1</v>
      </c>
      <c r="E2409" s="2" t="str">
        <f>"21707555327"</f>
        <v>21707555327</v>
      </c>
      <c r="F2409" s="2" t="s">
        <v>17</v>
      </c>
      <c r="G2409" s="2" t="s">
        <v>18</v>
      </c>
      <c r="H2409" s="2" t="s">
        <v>18</v>
      </c>
      <c r="I2409" s="2" t="s">
        <v>46</v>
      </c>
      <c r="J2409" s="2" t="s">
        <v>670</v>
      </c>
      <c r="K2409" s="2" t="s">
        <v>1513</v>
      </c>
      <c r="L2409" s="3">
        <v>0.3263888888888889</v>
      </c>
      <c r="M2409" s="2" t="s">
        <v>1758</v>
      </c>
      <c r="N2409" s="2" t="s">
        <v>500</v>
      </c>
      <c r="O2409" s="2"/>
    </row>
    <row r="2410" spans="1:15" x14ac:dyDescent="0.25">
      <c r="A2410" s="2" t="s">
        <v>15</v>
      </c>
      <c r="B2410" s="2" t="str">
        <f>"FES1162770401"</f>
        <v>FES1162770401</v>
      </c>
      <c r="C2410" s="2" t="s">
        <v>1506</v>
      </c>
      <c r="D2410" s="2">
        <v>1</v>
      </c>
      <c r="E2410" s="2" t="str">
        <f>"2170752743"</f>
        <v>2170752743</v>
      </c>
      <c r="F2410" s="2" t="s">
        <v>17</v>
      </c>
      <c r="G2410" s="2" t="s">
        <v>18</v>
      </c>
      <c r="H2410" s="2" t="s">
        <v>78</v>
      </c>
      <c r="I2410" s="2" t="s">
        <v>79</v>
      </c>
      <c r="J2410" s="2" t="s">
        <v>1147</v>
      </c>
      <c r="K2410" s="2" t="s">
        <v>1513</v>
      </c>
      <c r="L2410" s="3">
        <v>0.35416666666666669</v>
      </c>
      <c r="M2410" s="2" t="s">
        <v>1759</v>
      </c>
      <c r="N2410" s="2" t="s">
        <v>500</v>
      </c>
      <c r="O2410" s="2"/>
    </row>
    <row r="2411" spans="1:15" x14ac:dyDescent="0.25">
      <c r="A2411" s="2" t="s">
        <v>15</v>
      </c>
      <c r="B2411" s="2" t="str">
        <f>"FES1162770410"</f>
        <v>FES1162770410</v>
      </c>
      <c r="C2411" s="2" t="s">
        <v>1506</v>
      </c>
      <c r="D2411" s="2">
        <v>1</v>
      </c>
      <c r="E2411" s="2" t="str">
        <f>"2170756648"</f>
        <v>2170756648</v>
      </c>
      <c r="F2411" s="2" t="s">
        <v>17</v>
      </c>
      <c r="G2411" s="2" t="s">
        <v>18</v>
      </c>
      <c r="H2411" s="2" t="s">
        <v>19</v>
      </c>
      <c r="I2411" s="2" t="s">
        <v>111</v>
      </c>
      <c r="J2411" s="2" t="s">
        <v>1741</v>
      </c>
      <c r="K2411" s="2" t="s">
        <v>1513</v>
      </c>
      <c r="L2411" s="3">
        <v>0.4375</v>
      </c>
      <c r="M2411" s="2" t="s">
        <v>1760</v>
      </c>
      <c r="N2411" s="2" t="s">
        <v>500</v>
      </c>
      <c r="O2411" s="2"/>
    </row>
    <row r="2412" spans="1:15" x14ac:dyDescent="0.25">
      <c r="A2412" s="2" t="s">
        <v>15</v>
      </c>
      <c r="B2412" s="2" t="str">
        <f>"FES1162770567"</f>
        <v>FES1162770567</v>
      </c>
      <c r="C2412" s="2" t="s">
        <v>1506</v>
      </c>
      <c r="D2412" s="2">
        <v>1</v>
      </c>
      <c r="E2412" s="2" t="str">
        <f>"2170757834"</f>
        <v>2170757834</v>
      </c>
      <c r="F2412" s="2" t="s">
        <v>17</v>
      </c>
      <c r="G2412" s="2" t="s">
        <v>18</v>
      </c>
      <c r="H2412" s="2" t="s">
        <v>18</v>
      </c>
      <c r="I2412" s="2" t="s">
        <v>46</v>
      </c>
      <c r="J2412" s="2" t="s">
        <v>660</v>
      </c>
      <c r="K2412" s="2" t="s">
        <v>1513</v>
      </c>
      <c r="L2412" s="3">
        <v>0.3576388888888889</v>
      </c>
      <c r="M2412" s="2" t="s">
        <v>1761</v>
      </c>
      <c r="N2412" s="2" t="s">
        <v>500</v>
      </c>
      <c r="O2412" s="2"/>
    </row>
    <row r="2413" spans="1:15" x14ac:dyDescent="0.25">
      <c r="A2413" s="2" t="s">
        <v>15</v>
      </c>
      <c r="B2413" s="2" t="str">
        <f>"FES1162770509"</f>
        <v>FES1162770509</v>
      </c>
      <c r="C2413" s="2" t="s">
        <v>1506</v>
      </c>
      <c r="D2413" s="2">
        <v>1</v>
      </c>
      <c r="E2413" s="2" t="str">
        <f>"2170754749"</f>
        <v>2170754749</v>
      </c>
      <c r="F2413" s="2" t="s">
        <v>17</v>
      </c>
      <c r="G2413" s="2" t="s">
        <v>18</v>
      </c>
      <c r="H2413" s="2" t="s">
        <v>25</v>
      </c>
      <c r="I2413" s="2" t="s">
        <v>26</v>
      </c>
      <c r="J2413" s="2" t="s">
        <v>75</v>
      </c>
      <c r="K2413" s="2" t="s">
        <v>1513</v>
      </c>
      <c r="L2413" s="3">
        <v>0.41666666666666669</v>
      </c>
      <c r="M2413" s="2" t="s">
        <v>1833</v>
      </c>
      <c r="N2413" s="2" t="s">
        <v>500</v>
      </c>
      <c r="O2413" s="2"/>
    </row>
    <row r="2414" spans="1:15" x14ac:dyDescent="0.25">
      <c r="A2414" s="2" t="s">
        <v>15</v>
      </c>
      <c r="B2414" s="2" t="str">
        <f>"FES1162770556"</f>
        <v>FES1162770556</v>
      </c>
      <c r="C2414" s="2" t="s">
        <v>1506</v>
      </c>
      <c r="D2414" s="2">
        <v>1</v>
      </c>
      <c r="E2414" s="2" t="str">
        <f>"2170753864"</f>
        <v>2170753864</v>
      </c>
      <c r="F2414" s="2" t="s">
        <v>205</v>
      </c>
      <c r="G2414" s="2" t="s">
        <v>206</v>
      </c>
      <c r="H2414" s="2" t="s">
        <v>25</v>
      </c>
      <c r="I2414" s="2" t="s">
        <v>39</v>
      </c>
      <c r="J2414" s="2" t="s">
        <v>40</v>
      </c>
      <c r="K2414" s="2" t="s">
        <v>1762</v>
      </c>
      <c r="L2414" s="3">
        <v>0.46875</v>
      </c>
      <c r="M2414" s="2" t="s">
        <v>40</v>
      </c>
      <c r="N2414" s="2" t="s">
        <v>500</v>
      </c>
      <c r="O2414" s="2"/>
    </row>
    <row r="2415" spans="1:15" x14ac:dyDescent="0.25">
      <c r="A2415" s="2" t="s">
        <v>15</v>
      </c>
      <c r="B2415" s="2" t="str">
        <f>"FES1162770555"</f>
        <v>FES1162770555</v>
      </c>
      <c r="C2415" s="2" t="s">
        <v>1506</v>
      </c>
      <c r="D2415" s="2">
        <v>1</v>
      </c>
      <c r="E2415" s="2" t="str">
        <f>"2170753862"</f>
        <v>2170753862</v>
      </c>
      <c r="F2415" s="2" t="s">
        <v>205</v>
      </c>
      <c r="G2415" s="2" t="s">
        <v>206</v>
      </c>
      <c r="H2415" s="2" t="s">
        <v>25</v>
      </c>
      <c r="I2415" s="2" t="s">
        <v>39</v>
      </c>
      <c r="J2415" s="2" t="s">
        <v>40</v>
      </c>
      <c r="K2415" s="2" t="s">
        <v>1762</v>
      </c>
      <c r="L2415" s="3">
        <v>0.4694444444444445</v>
      </c>
      <c r="M2415" s="2" t="s">
        <v>40</v>
      </c>
      <c r="N2415" s="2" t="s">
        <v>500</v>
      </c>
      <c r="O2415" s="2"/>
    </row>
    <row r="2416" spans="1:15" x14ac:dyDescent="0.25">
      <c r="A2416" s="2" t="s">
        <v>15</v>
      </c>
      <c r="B2416" s="2" t="str">
        <f>"FES1162770570"</f>
        <v>FES1162770570</v>
      </c>
      <c r="C2416" s="2" t="s">
        <v>1506</v>
      </c>
      <c r="D2416" s="2">
        <v>1</v>
      </c>
      <c r="E2416" s="2" t="str">
        <f>"2170757841"</f>
        <v>2170757841</v>
      </c>
      <c r="F2416" s="2" t="s">
        <v>17</v>
      </c>
      <c r="G2416" s="2" t="s">
        <v>18</v>
      </c>
      <c r="H2416" s="2" t="s">
        <v>18</v>
      </c>
      <c r="I2416" s="2" t="s">
        <v>478</v>
      </c>
      <c r="J2416" s="2" t="s">
        <v>778</v>
      </c>
      <c r="K2416" s="2" t="s">
        <v>1513</v>
      </c>
      <c r="L2416" s="3">
        <v>0.36041666666666666</v>
      </c>
      <c r="M2416" s="2" t="s">
        <v>1696</v>
      </c>
      <c r="N2416" s="2" t="s">
        <v>500</v>
      </c>
      <c r="O2416" s="2"/>
    </row>
    <row r="2417" spans="1:15" x14ac:dyDescent="0.25">
      <c r="A2417" s="2" t="s">
        <v>15</v>
      </c>
      <c r="B2417" s="2" t="str">
        <f>"FES1162770569"</f>
        <v>FES1162770569</v>
      </c>
      <c r="C2417" s="2" t="s">
        <v>1506</v>
      </c>
      <c r="D2417" s="2">
        <v>1</v>
      </c>
      <c r="E2417" s="2" t="str">
        <f>"2170757840"</f>
        <v>2170757840</v>
      </c>
      <c r="F2417" s="2" t="s">
        <v>17</v>
      </c>
      <c r="G2417" s="2" t="s">
        <v>18</v>
      </c>
      <c r="H2417" s="2" t="s">
        <v>18</v>
      </c>
      <c r="I2417" s="2" t="s">
        <v>329</v>
      </c>
      <c r="J2417" s="2" t="s">
        <v>1763</v>
      </c>
      <c r="K2417" s="2" t="s">
        <v>1513</v>
      </c>
      <c r="L2417" s="3">
        <v>0.4375</v>
      </c>
      <c r="M2417" s="2" t="s">
        <v>559</v>
      </c>
      <c r="N2417" s="2" t="s">
        <v>500</v>
      </c>
      <c r="O2417" s="2"/>
    </row>
    <row r="2418" spans="1:15" x14ac:dyDescent="0.25">
      <c r="A2418" s="2" t="s">
        <v>15</v>
      </c>
      <c r="B2418" s="2" t="str">
        <f>"FES1162770539"</f>
        <v>FES1162770539</v>
      </c>
      <c r="C2418" s="2" t="s">
        <v>1506</v>
      </c>
      <c r="D2418" s="2">
        <v>1</v>
      </c>
      <c r="E2418" s="2" t="str">
        <f>"2170757786"</f>
        <v>2170757786</v>
      </c>
      <c r="F2418" s="2" t="s">
        <v>17</v>
      </c>
      <c r="G2418" s="2" t="s">
        <v>18</v>
      </c>
      <c r="H2418" s="2" t="s">
        <v>18</v>
      </c>
      <c r="I2418" s="2" t="s">
        <v>105</v>
      </c>
      <c r="J2418" s="2" t="s">
        <v>106</v>
      </c>
      <c r="K2418" s="2" t="s">
        <v>1513</v>
      </c>
      <c r="L2418" s="3">
        <v>0.4375</v>
      </c>
      <c r="M2418" s="2" t="s">
        <v>559</v>
      </c>
      <c r="N2418" s="2" t="s">
        <v>500</v>
      </c>
      <c r="O2418" s="2"/>
    </row>
    <row r="2419" spans="1:15" x14ac:dyDescent="0.25">
      <c r="A2419" s="2" t="s">
        <v>15</v>
      </c>
      <c r="B2419" s="2" t="str">
        <f>"FES1162770409"</f>
        <v>FES1162770409</v>
      </c>
      <c r="C2419" s="2" t="s">
        <v>1506</v>
      </c>
      <c r="D2419" s="2">
        <v>1</v>
      </c>
      <c r="E2419" s="2" t="str">
        <f>"2170757358"</f>
        <v>2170757358</v>
      </c>
      <c r="F2419" s="2" t="s">
        <v>17</v>
      </c>
      <c r="G2419" s="2" t="s">
        <v>18</v>
      </c>
      <c r="H2419" s="2" t="s">
        <v>18</v>
      </c>
      <c r="I2419" s="2" t="s">
        <v>290</v>
      </c>
      <c r="J2419" s="2" t="s">
        <v>492</v>
      </c>
      <c r="K2419" s="2" t="s">
        <v>1513</v>
      </c>
      <c r="L2419" s="3">
        <v>0.375</v>
      </c>
      <c r="M2419" s="2" t="s">
        <v>354</v>
      </c>
      <c r="N2419" s="2" t="s">
        <v>500</v>
      </c>
      <c r="O2419" s="2"/>
    </row>
    <row r="2420" spans="1:15" x14ac:dyDescent="0.25">
      <c r="A2420" s="2" t="s">
        <v>15</v>
      </c>
      <c r="B2420" s="2" t="str">
        <f>"FES1162769000"</f>
        <v>FES1162769000</v>
      </c>
      <c r="C2420" s="2" t="s">
        <v>1506</v>
      </c>
      <c r="D2420" s="2">
        <v>1</v>
      </c>
      <c r="E2420" s="2" t="str">
        <f>"2170755611"</f>
        <v>2170755611</v>
      </c>
      <c r="F2420" s="2" t="s">
        <v>17</v>
      </c>
      <c r="G2420" s="2" t="s">
        <v>18</v>
      </c>
      <c r="H2420" s="2" t="s">
        <v>19</v>
      </c>
      <c r="I2420" s="2" t="s">
        <v>20</v>
      </c>
      <c r="J2420" s="2" t="s">
        <v>77</v>
      </c>
      <c r="K2420" s="2" t="s">
        <v>1513</v>
      </c>
      <c r="L2420" s="3">
        <v>0.4375</v>
      </c>
      <c r="M2420" s="2" t="s">
        <v>1764</v>
      </c>
      <c r="N2420" s="2" t="s">
        <v>500</v>
      </c>
      <c r="O2420" s="2"/>
    </row>
    <row r="2421" spans="1:15" x14ac:dyDescent="0.25">
      <c r="A2421" s="2" t="s">
        <v>15</v>
      </c>
      <c r="B2421" s="2" t="str">
        <f>"FES1162770578"</f>
        <v>FES1162770578</v>
      </c>
      <c r="C2421" s="2" t="s">
        <v>1506</v>
      </c>
      <c r="D2421" s="2">
        <v>1</v>
      </c>
      <c r="E2421" s="2" t="str">
        <f>"2170757850"</f>
        <v>2170757850</v>
      </c>
      <c r="F2421" s="2" t="s">
        <v>17</v>
      </c>
      <c r="G2421" s="2" t="s">
        <v>18</v>
      </c>
      <c r="H2421" s="2" t="s">
        <v>18</v>
      </c>
      <c r="I2421" s="2" t="s">
        <v>50</v>
      </c>
      <c r="J2421" s="2" t="s">
        <v>51</v>
      </c>
      <c r="K2421" s="2" t="s">
        <v>1513</v>
      </c>
      <c r="L2421" s="3">
        <v>0.41666666666666669</v>
      </c>
      <c r="M2421" s="2" t="s">
        <v>176</v>
      </c>
      <c r="N2421" s="2" t="s">
        <v>500</v>
      </c>
      <c r="O2421" s="2"/>
    </row>
    <row r="2422" spans="1:15" x14ac:dyDescent="0.25">
      <c r="A2422" s="2" t="s">
        <v>15</v>
      </c>
      <c r="B2422" s="2" t="str">
        <f>"FES1162770587"</f>
        <v>FES1162770587</v>
      </c>
      <c r="C2422" s="2" t="s">
        <v>1506</v>
      </c>
      <c r="D2422" s="2">
        <v>1</v>
      </c>
      <c r="E2422" s="2" t="str">
        <f>"2170757863"</f>
        <v>2170757863</v>
      </c>
      <c r="F2422" s="2" t="s">
        <v>17</v>
      </c>
      <c r="G2422" s="2" t="s">
        <v>18</v>
      </c>
      <c r="H2422" s="2" t="s">
        <v>18</v>
      </c>
      <c r="I2422" s="2" t="s">
        <v>46</v>
      </c>
      <c r="J2422" s="2" t="s">
        <v>115</v>
      </c>
      <c r="K2422" s="2" t="s">
        <v>1513</v>
      </c>
      <c r="L2422" s="3">
        <v>0.40625</v>
      </c>
      <c r="M2422" s="2" t="s">
        <v>354</v>
      </c>
      <c r="N2422" s="2" t="s">
        <v>500</v>
      </c>
      <c r="O2422" s="2"/>
    </row>
    <row r="2423" spans="1:15" x14ac:dyDescent="0.25">
      <c r="A2423" s="2" t="s">
        <v>15</v>
      </c>
      <c r="B2423" s="2" t="str">
        <f>"FES1162770581"</f>
        <v>FES1162770581</v>
      </c>
      <c r="C2423" s="2" t="s">
        <v>1506</v>
      </c>
      <c r="D2423" s="2">
        <v>1</v>
      </c>
      <c r="E2423" s="2" t="str">
        <f>"2170757815"</f>
        <v>2170757815</v>
      </c>
      <c r="F2423" s="2" t="s">
        <v>17</v>
      </c>
      <c r="G2423" s="2" t="s">
        <v>18</v>
      </c>
      <c r="H2423" s="2" t="s">
        <v>25</v>
      </c>
      <c r="I2423" s="2" t="s">
        <v>26</v>
      </c>
      <c r="J2423" s="2" t="s">
        <v>1765</v>
      </c>
      <c r="K2423" s="2" t="s">
        <v>1513</v>
      </c>
      <c r="L2423" s="3">
        <v>0.41666666666666669</v>
      </c>
      <c r="M2423" s="2" t="s">
        <v>1766</v>
      </c>
      <c r="N2423" s="2" t="s">
        <v>500</v>
      </c>
      <c r="O2423" s="2"/>
    </row>
    <row r="2424" spans="1:15" x14ac:dyDescent="0.25">
      <c r="A2424" s="2" t="s">
        <v>15</v>
      </c>
      <c r="B2424" s="2" t="str">
        <f>"FES1162770584"</f>
        <v>FES1162770584</v>
      </c>
      <c r="C2424" s="2" t="s">
        <v>1506</v>
      </c>
      <c r="D2424" s="2">
        <v>1</v>
      </c>
      <c r="E2424" s="2" t="str">
        <f>"2170757858"</f>
        <v>2170757858</v>
      </c>
      <c r="F2424" s="2" t="s">
        <v>17</v>
      </c>
      <c r="G2424" s="2" t="s">
        <v>18</v>
      </c>
      <c r="H2424" s="2" t="s">
        <v>25</v>
      </c>
      <c r="I2424" s="2" t="s">
        <v>26</v>
      </c>
      <c r="J2424" s="2" t="s">
        <v>915</v>
      </c>
      <c r="K2424" s="2" t="s">
        <v>1513</v>
      </c>
      <c r="L2424" s="3">
        <v>0.41666666666666669</v>
      </c>
      <c r="M2424" s="2" t="s">
        <v>1767</v>
      </c>
      <c r="N2424" s="2" t="s">
        <v>500</v>
      </c>
      <c r="O2424" s="2"/>
    </row>
    <row r="2425" spans="1:15" x14ac:dyDescent="0.25">
      <c r="A2425" s="2" t="s">
        <v>15</v>
      </c>
      <c r="B2425" s="2" t="str">
        <f>"FES1162770452"</f>
        <v>FES1162770452</v>
      </c>
      <c r="C2425" s="2" t="s">
        <v>1506</v>
      </c>
      <c r="D2425" s="2">
        <v>1</v>
      </c>
      <c r="E2425" s="2" t="str">
        <f>"2170757709"</f>
        <v>2170757709</v>
      </c>
      <c r="F2425" s="2" t="s">
        <v>17</v>
      </c>
      <c r="G2425" s="2" t="s">
        <v>18</v>
      </c>
      <c r="H2425" s="2" t="s">
        <v>33</v>
      </c>
      <c r="I2425" s="2" t="s">
        <v>34</v>
      </c>
      <c r="J2425" s="2" t="s">
        <v>400</v>
      </c>
      <c r="K2425" s="2" t="s">
        <v>1513</v>
      </c>
      <c r="L2425" s="3">
        <v>0.43333333333333335</v>
      </c>
      <c r="M2425" s="2" t="s">
        <v>595</v>
      </c>
      <c r="N2425" s="2" t="s">
        <v>500</v>
      </c>
      <c r="O2425" s="2"/>
    </row>
    <row r="2426" spans="1:15" x14ac:dyDescent="0.25">
      <c r="A2426" s="2" t="s">
        <v>15</v>
      </c>
      <c r="B2426" s="2" t="str">
        <f>"FES1162770432"</f>
        <v>FES1162770432</v>
      </c>
      <c r="C2426" s="2" t="s">
        <v>1506</v>
      </c>
      <c r="D2426" s="2">
        <v>1</v>
      </c>
      <c r="E2426" s="2" t="str">
        <f>"2170756816"</f>
        <v>2170756816</v>
      </c>
      <c r="F2426" s="2" t="s">
        <v>17</v>
      </c>
      <c r="G2426" s="2" t="s">
        <v>18</v>
      </c>
      <c r="H2426" s="2" t="s">
        <v>36</v>
      </c>
      <c r="I2426" s="2" t="s">
        <v>37</v>
      </c>
      <c r="J2426" s="2" t="s">
        <v>476</v>
      </c>
      <c r="K2426" s="2" t="s">
        <v>1513</v>
      </c>
      <c r="L2426" s="3">
        <v>0.34722222222222227</v>
      </c>
      <c r="M2426" s="2" t="s">
        <v>1768</v>
      </c>
      <c r="N2426" s="2" t="s">
        <v>500</v>
      </c>
      <c r="O2426" s="2"/>
    </row>
    <row r="2427" spans="1:15" x14ac:dyDescent="0.25">
      <c r="A2427" s="2" t="s">
        <v>15</v>
      </c>
      <c r="B2427" s="2" t="str">
        <f>"FES1162770551"</f>
        <v>FES1162770551</v>
      </c>
      <c r="C2427" s="2" t="s">
        <v>1506</v>
      </c>
      <c r="D2427" s="2">
        <v>1</v>
      </c>
      <c r="E2427" s="2" t="str">
        <f>"2170757819"</f>
        <v>2170757819</v>
      </c>
      <c r="F2427" s="2" t="s">
        <v>17</v>
      </c>
      <c r="G2427" s="2" t="s">
        <v>18</v>
      </c>
      <c r="H2427" s="2" t="s">
        <v>19</v>
      </c>
      <c r="I2427" s="2" t="s">
        <v>20</v>
      </c>
      <c r="J2427" s="2" t="s">
        <v>123</v>
      </c>
      <c r="K2427" s="2" t="s">
        <v>1513</v>
      </c>
      <c r="L2427" s="3">
        <v>0.4375</v>
      </c>
      <c r="M2427" s="2" t="s">
        <v>1769</v>
      </c>
      <c r="N2427" s="2" t="s">
        <v>500</v>
      </c>
      <c r="O2427" s="2"/>
    </row>
    <row r="2428" spans="1:15" x14ac:dyDescent="0.25">
      <c r="A2428" s="2" t="s">
        <v>15</v>
      </c>
      <c r="B2428" s="2" t="str">
        <f>"FES1162770472"</f>
        <v>FES1162770472</v>
      </c>
      <c r="C2428" s="2" t="s">
        <v>1506</v>
      </c>
      <c r="D2428" s="2">
        <v>2</v>
      </c>
      <c r="E2428" s="2" t="str">
        <f>"2170757749"</f>
        <v>2170757749</v>
      </c>
      <c r="F2428" s="2" t="s">
        <v>205</v>
      </c>
      <c r="G2428" s="2" t="s">
        <v>206</v>
      </c>
      <c r="H2428" s="2" t="s">
        <v>36</v>
      </c>
      <c r="I2428" s="2" t="s">
        <v>37</v>
      </c>
      <c r="J2428" s="2" t="s">
        <v>378</v>
      </c>
      <c r="K2428" s="2" t="s">
        <v>1762</v>
      </c>
      <c r="L2428" s="3">
        <v>0.4375</v>
      </c>
      <c r="M2428" s="2" t="s">
        <v>1843</v>
      </c>
      <c r="N2428" s="2" t="s">
        <v>500</v>
      </c>
      <c r="O2428" s="2"/>
    </row>
    <row r="2429" spans="1:15" x14ac:dyDescent="0.25">
      <c r="A2429" s="2" t="s">
        <v>15</v>
      </c>
      <c r="B2429" s="2" t="str">
        <f>"FES1162770484"</f>
        <v>FES1162770484</v>
      </c>
      <c r="C2429" s="2" t="s">
        <v>1506</v>
      </c>
      <c r="D2429" s="2">
        <v>1</v>
      </c>
      <c r="E2429" s="2" t="str">
        <f>"2170757763"</f>
        <v>2170757763</v>
      </c>
      <c r="F2429" s="2" t="s">
        <v>17</v>
      </c>
      <c r="G2429" s="2" t="s">
        <v>18</v>
      </c>
      <c r="H2429" s="2" t="s">
        <v>36</v>
      </c>
      <c r="I2429" s="2" t="s">
        <v>37</v>
      </c>
      <c r="J2429" s="2" t="s">
        <v>55</v>
      </c>
      <c r="K2429" s="2" t="s">
        <v>1513</v>
      </c>
      <c r="L2429" s="3">
        <v>0.38055555555555554</v>
      </c>
      <c r="M2429" s="2" t="s">
        <v>1683</v>
      </c>
      <c r="N2429" s="2" t="s">
        <v>500</v>
      </c>
      <c r="O2429" s="2"/>
    </row>
    <row r="2430" spans="1:15" x14ac:dyDescent="0.25">
      <c r="A2430" s="2" t="s">
        <v>15</v>
      </c>
      <c r="B2430" s="2" t="str">
        <f>"FES1162770575"</f>
        <v>FES1162770575</v>
      </c>
      <c r="C2430" s="2" t="s">
        <v>1506</v>
      </c>
      <c r="D2430" s="2">
        <v>1</v>
      </c>
      <c r="E2430" s="2" t="str">
        <f>"2170757849"</f>
        <v>2170757849</v>
      </c>
      <c r="F2430" s="2" t="s">
        <v>17</v>
      </c>
      <c r="G2430" s="2" t="s">
        <v>18</v>
      </c>
      <c r="H2430" s="2" t="s">
        <v>19</v>
      </c>
      <c r="I2430" s="2" t="s">
        <v>269</v>
      </c>
      <c r="J2430" s="2" t="s">
        <v>655</v>
      </c>
      <c r="K2430" s="2" t="s">
        <v>1513</v>
      </c>
      <c r="L2430" s="3">
        <v>0.4375</v>
      </c>
      <c r="M2430" s="2" t="s">
        <v>1352</v>
      </c>
      <c r="N2430" s="2" t="s">
        <v>500</v>
      </c>
      <c r="O2430" s="2"/>
    </row>
    <row r="2431" spans="1:15" x14ac:dyDescent="0.25">
      <c r="A2431" s="2" t="s">
        <v>15</v>
      </c>
      <c r="B2431" s="2" t="str">
        <f>"FES1162770579"</f>
        <v>FES1162770579</v>
      </c>
      <c r="C2431" s="2" t="s">
        <v>1506</v>
      </c>
      <c r="D2431" s="2">
        <v>1</v>
      </c>
      <c r="E2431" s="2" t="str">
        <f>"2170757852"</f>
        <v>2170757852</v>
      </c>
      <c r="F2431" s="2" t="s">
        <v>17</v>
      </c>
      <c r="G2431" s="2" t="s">
        <v>18</v>
      </c>
      <c r="H2431" s="2" t="s">
        <v>19</v>
      </c>
      <c r="I2431" s="2" t="s">
        <v>20</v>
      </c>
      <c r="J2431" s="2" t="s">
        <v>21</v>
      </c>
      <c r="K2431" s="2" t="s">
        <v>1513</v>
      </c>
      <c r="L2431" s="3">
        <v>0.4375</v>
      </c>
      <c r="M2431" s="2" t="s">
        <v>1733</v>
      </c>
      <c r="N2431" s="2" t="s">
        <v>500</v>
      </c>
      <c r="O2431" s="2"/>
    </row>
    <row r="2432" spans="1:15" x14ac:dyDescent="0.25">
      <c r="A2432" s="2" t="s">
        <v>15</v>
      </c>
      <c r="B2432" s="2" t="str">
        <f>"FES1162770558"</f>
        <v>FES1162770558</v>
      </c>
      <c r="C2432" s="2" t="s">
        <v>1506</v>
      </c>
      <c r="D2432" s="2">
        <v>1</v>
      </c>
      <c r="E2432" s="2" t="str">
        <f>"2170757826"</f>
        <v>2170757826</v>
      </c>
      <c r="F2432" s="2" t="s">
        <v>17</v>
      </c>
      <c r="G2432" s="2" t="s">
        <v>18</v>
      </c>
      <c r="H2432" s="2" t="s">
        <v>19</v>
      </c>
      <c r="I2432" s="2" t="s">
        <v>73</v>
      </c>
      <c r="J2432" s="2" t="s">
        <v>76</v>
      </c>
      <c r="K2432" s="2" t="s">
        <v>1513</v>
      </c>
      <c r="L2432" s="3">
        <v>0.4375</v>
      </c>
      <c r="M2432" s="2" t="s">
        <v>197</v>
      </c>
      <c r="N2432" s="2" t="s">
        <v>500</v>
      </c>
      <c r="O2432" s="2"/>
    </row>
    <row r="2433" spans="1:15" x14ac:dyDescent="0.25">
      <c r="A2433" s="2" t="s">
        <v>15</v>
      </c>
      <c r="B2433" s="2" t="str">
        <f>"FES1162770589"</f>
        <v>FES1162770589</v>
      </c>
      <c r="C2433" s="2" t="s">
        <v>1506</v>
      </c>
      <c r="D2433" s="2">
        <v>1</v>
      </c>
      <c r="E2433" s="2" t="str">
        <f>"2170757864"</f>
        <v>2170757864</v>
      </c>
      <c r="F2433" s="2" t="s">
        <v>17</v>
      </c>
      <c r="G2433" s="2" t="s">
        <v>18</v>
      </c>
      <c r="H2433" s="2" t="s">
        <v>25</v>
      </c>
      <c r="I2433" s="2" t="s">
        <v>26</v>
      </c>
      <c r="J2433" s="2" t="s">
        <v>27</v>
      </c>
      <c r="K2433" s="2" t="s">
        <v>1513</v>
      </c>
      <c r="L2433" s="3">
        <v>0.41666666666666669</v>
      </c>
      <c r="M2433" s="2" t="s">
        <v>1838</v>
      </c>
      <c r="N2433" s="2" t="s">
        <v>500</v>
      </c>
      <c r="O2433" s="2"/>
    </row>
    <row r="2434" spans="1:15" x14ac:dyDescent="0.25">
      <c r="A2434" s="2" t="s">
        <v>15</v>
      </c>
      <c r="B2434" s="2" t="str">
        <f>"FES1162770586"</f>
        <v>FES1162770586</v>
      </c>
      <c r="C2434" s="2" t="s">
        <v>1506</v>
      </c>
      <c r="D2434" s="2">
        <v>1</v>
      </c>
      <c r="E2434" s="2" t="str">
        <f>"2170757862"</f>
        <v>2170757862</v>
      </c>
      <c r="F2434" s="2" t="s">
        <v>17</v>
      </c>
      <c r="G2434" s="2" t="s">
        <v>18</v>
      </c>
      <c r="H2434" s="2" t="s">
        <v>18</v>
      </c>
      <c r="I2434" s="2" t="s">
        <v>46</v>
      </c>
      <c r="J2434" s="2" t="s">
        <v>1770</v>
      </c>
      <c r="K2434" s="2" t="s">
        <v>1513</v>
      </c>
      <c r="L2434" s="3">
        <v>0.35416666666666669</v>
      </c>
      <c r="M2434" s="2" t="s">
        <v>1771</v>
      </c>
      <c r="N2434" s="2" t="s">
        <v>500</v>
      </c>
      <c r="O2434" s="2"/>
    </row>
    <row r="2435" spans="1:15" x14ac:dyDescent="0.25">
      <c r="A2435" s="2" t="s">
        <v>15</v>
      </c>
      <c r="B2435" s="2" t="str">
        <f>"FES1162770582"</f>
        <v>FES1162770582</v>
      </c>
      <c r="C2435" s="2" t="s">
        <v>1506</v>
      </c>
      <c r="D2435" s="2">
        <v>1</v>
      </c>
      <c r="E2435" s="2" t="str">
        <f>"2170757854"</f>
        <v>2170757854</v>
      </c>
      <c r="F2435" s="2" t="s">
        <v>17</v>
      </c>
      <c r="G2435" s="2" t="s">
        <v>18</v>
      </c>
      <c r="H2435" s="2" t="s">
        <v>18</v>
      </c>
      <c r="I2435" s="2" t="s">
        <v>46</v>
      </c>
      <c r="J2435" s="2" t="s">
        <v>139</v>
      </c>
      <c r="K2435" s="2" t="s">
        <v>1513</v>
      </c>
      <c r="L2435" s="3">
        <v>0.43402777777777773</v>
      </c>
      <c r="M2435" s="2" t="s">
        <v>1731</v>
      </c>
      <c r="N2435" s="2" t="s">
        <v>500</v>
      </c>
      <c r="O2435" s="2"/>
    </row>
    <row r="2436" spans="1:15" x14ac:dyDescent="0.25">
      <c r="A2436" s="2" t="s">
        <v>15</v>
      </c>
      <c r="B2436" s="2" t="str">
        <f>"FES1162770573"</f>
        <v>FES1162770573</v>
      </c>
      <c r="C2436" s="2" t="s">
        <v>1506</v>
      </c>
      <c r="D2436" s="2">
        <v>1</v>
      </c>
      <c r="E2436" s="2" t="str">
        <f>"2170757848"</f>
        <v>2170757848</v>
      </c>
      <c r="F2436" s="2" t="s">
        <v>17</v>
      </c>
      <c r="G2436" s="2" t="s">
        <v>18</v>
      </c>
      <c r="H2436" s="2" t="s">
        <v>36</v>
      </c>
      <c r="I2436" s="2" t="s">
        <v>37</v>
      </c>
      <c r="J2436" s="2" t="s">
        <v>38</v>
      </c>
      <c r="K2436" s="2" t="s">
        <v>1513</v>
      </c>
      <c r="L2436" s="3">
        <v>0.33333333333333331</v>
      </c>
      <c r="M2436" s="2" t="s">
        <v>1772</v>
      </c>
      <c r="N2436" s="2" t="s">
        <v>500</v>
      </c>
      <c r="O2436" s="2"/>
    </row>
    <row r="2437" spans="1:15" x14ac:dyDescent="0.25">
      <c r="A2437" s="2" t="s">
        <v>15</v>
      </c>
      <c r="B2437" s="2" t="str">
        <f>"FES1162770486"</f>
        <v>FES1162770486</v>
      </c>
      <c r="C2437" s="2" t="s">
        <v>1506</v>
      </c>
      <c r="D2437" s="2">
        <v>1</v>
      </c>
      <c r="E2437" s="2" t="str">
        <f>"2170757765"</f>
        <v>2170757765</v>
      </c>
      <c r="F2437" s="2" t="s">
        <v>17</v>
      </c>
      <c r="G2437" s="2" t="s">
        <v>18</v>
      </c>
      <c r="H2437" s="2" t="s">
        <v>36</v>
      </c>
      <c r="I2437" s="2" t="s">
        <v>37</v>
      </c>
      <c r="J2437" s="2" t="s">
        <v>55</v>
      </c>
      <c r="K2437" s="2" t="s">
        <v>1513</v>
      </c>
      <c r="L2437" s="3">
        <v>0.38055555555555554</v>
      </c>
      <c r="M2437" s="2" t="s">
        <v>1683</v>
      </c>
      <c r="N2437" s="2" t="s">
        <v>500</v>
      </c>
      <c r="O2437" s="2"/>
    </row>
    <row r="2438" spans="1:15" x14ac:dyDescent="0.25">
      <c r="A2438" s="2" t="s">
        <v>15</v>
      </c>
      <c r="B2438" s="2" t="str">
        <f>"019911311288"</f>
        <v>019911311288</v>
      </c>
      <c r="C2438" s="2" t="s">
        <v>1506</v>
      </c>
      <c r="D2438" s="2">
        <v>1</v>
      </c>
      <c r="E2438" s="2" t="str">
        <f>"1703"</f>
        <v>1703</v>
      </c>
      <c r="F2438" s="2" t="s">
        <v>480</v>
      </c>
      <c r="G2438" s="2" t="s">
        <v>25</v>
      </c>
      <c r="H2438" s="2" t="s">
        <v>18</v>
      </c>
      <c r="I2438" s="2" t="s">
        <v>46</v>
      </c>
      <c r="J2438" s="2" t="s">
        <v>755</v>
      </c>
      <c r="K2438" s="2" t="s">
        <v>1513</v>
      </c>
      <c r="L2438" s="3">
        <v>0.35694444444444445</v>
      </c>
      <c r="M2438" s="2" t="s">
        <v>1773</v>
      </c>
      <c r="N2438" s="2" t="s">
        <v>500</v>
      </c>
      <c r="O2438" s="2"/>
    </row>
    <row r="2439" spans="1:15" x14ac:dyDescent="0.25">
      <c r="A2439" s="2" t="s">
        <v>15</v>
      </c>
      <c r="B2439" s="2" t="str">
        <f>"019911311287"</f>
        <v>019911311287</v>
      </c>
      <c r="C2439" s="2" t="s">
        <v>1506</v>
      </c>
      <c r="D2439" s="2">
        <v>1</v>
      </c>
      <c r="E2439" s="2" t="str">
        <f>"1703"</f>
        <v>1703</v>
      </c>
      <c r="F2439" s="2" t="s">
        <v>480</v>
      </c>
      <c r="G2439" s="2" t="s">
        <v>25</v>
      </c>
      <c r="H2439" s="2" t="s">
        <v>18</v>
      </c>
      <c r="I2439" s="2" t="s">
        <v>46</v>
      </c>
      <c r="J2439" s="2" t="s">
        <v>755</v>
      </c>
      <c r="K2439" s="2" t="s">
        <v>1513</v>
      </c>
      <c r="L2439" s="3">
        <v>0.35694444444444445</v>
      </c>
      <c r="M2439" s="2" t="s">
        <v>1773</v>
      </c>
      <c r="N2439" s="2" t="s">
        <v>500</v>
      </c>
      <c r="O2439" s="2"/>
    </row>
    <row r="2440" spans="1:15" x14ac:dyDescent="0.25">
      <c r="A2440" s="2" t="s">
        <v>15</v>
      </c>
      <c r="B2440" s="2" t="str">
        <f>"009939664743"</f>
        <v>009939664743</v>
      </c>
      <c r="C2440" s="2" t="s">
        <v>1506</v>
      </c>
      <c r="D2440" s="2">
        <v>1</v>
      </c>
      <c r="E2440" s="2" t="str">
        <f>""</f>
        <v/>
      </c>
      <c r="F2440" s="2" t="s">
        <v>17</v>
      </c>
      <c r="G2440" s="2" t="s">
        <v>19</v>
      </c>
      <c r="H2440" s="2" t="s">
        <v>206</v>
      </c>
      <c r="I2440" s="2" t="s">
        <v>46</v>
      </c>
      <c r="J2440" s="2" t="s">
        <v>410</v>
      </c>
      <c r="K2440" s="2" t="s">
        <v>1513</v>
      </c>
      <c r="L2440" s="3">
        <v>0.3576388888888889</v>
      </c>
      <c r="M2440" s="2" t="s">
        <v>1774</v>
      </c>
      <c r="N2440" s="2" t="s">
        <v>500</v>
      </c>
      <c r="O2440" s="2"/>
    </row>
    <row r="2441" spans="1:15" x14ac:dyDescent="0.25">
      <c r="A2441" s="2" t="s">
        <v>15</v>
      </c>
      <c r="B2441" s="2" t="str">
        <f>"009940490366"</f>
        <v>009940490366</v>
      </c>
      <c r="C2441" s="2" t="s">
        <v>1506</v>
      </c>
      <c r="D2441" s="2">
        <v>1</v>
      </c>
      <c r="E2441" s="2" t="str">
        <f>""</f>
        <v/>
      </c>
      <c r="F2441" s="2" t="s">
        <v>205</v>
      </c>
      <c r="G2441" s="2" t="s">
        <v>206</v>
      </c>
      <c r="H2441" s="2" t="s">
        <v>206</v>
      </c>
      <c r="I2441" s="2" t="s">
        <v>46</v>
      </c>
      <c r="J2441" s="2" t="s">
        <v>410</v>
      </c>
      <c r="K2441" s="2" t="s">
        <v>1513</v>
      </c>
      <c r="L2441" s="3">
        <v>0.35694444444444445</v>
      </c>
      <c r="M2441" s="2" t="s">
        <v>1773</v>
      </c>
      <c r="N2441" s="2" t="s">
        <v>500</v>
      </c>
      <c r="O2441" s="2"/>
    </row>
    <row r="2442" spans="1:15" x14ac:dyDescent="0.25">
      <c r="A2442" s="2" t="s">
        <v>15</v>
      </c>
      <c r="B2442" s="2" t="str">
        <f>"FES1162770580"</f>
        <v>FES1162770580</v>
      </c>
      <c r="C2442" s="2" t="s">
        <v>1506</v>
      </c>
      <c r="D2442" s="2">
        <v>1</v>
      </c>
      <c r="E2442" s="2" t="str">
        <f>"2170757853"</f>
        <v>2170757853</v>
      </c>
      <c r="F2442" s="2" t="s">
        <v>17</v>
      </c>
      <c r="G2442" s="2" t="s">
        <v>18</v>
      </c>
      <c r="H2442" s="2" t="s">
        <v>88</v>
      </c>
      <c r="I2442" s="2" t="s">
        <v>109</v>
      </c>
      <c r="J2442" s="2" t="s">
        <v>141</v>
      </c>
      <c r="K2442" s="2" t="s">
        <v>1513</v>
      </c>
      <c r="L2442" s="3">
        <v>0.3972222222222222</v>
      </c>
      <c r="M2442" s="2" t="s">
        <v>1775</v>
      </c>
      <c r="N2442" s="2" t="s">
        <v>500</v>
      </c>
      <c r="O2442" s="2"/>
    </row>
    <row r="2443" spans="1:15" x14ac:dyDescent="0.25">
      <c r="A2443" s="2" t="s">
        <v>15</v>
      </c>
      <c r="B2443" s="2" t="str">
        <f>"FES1162770571"</f>
        <v>FES1162770571</v>
      </c>
      <c r="C2443" s="2" t="s">
        <v>1506</v>
      </c>
      <c r="D2443" s="2">
        <v>1</v>
      </c>
      <c r="E2443" s="2" t="str">
        <f>"2170757842"</f>
        <v>2170757842</v>
      </c>
      <c r="F2443" s="2" t="s">
        <v>17</v>
      </c>
      <c r="G2443" s="2" t="s">
        <v>18</v>
      </c>
      <c r="H2443" s="2" t="s">
        <v>88</v>
      </c>
      <c r="I2443" s="2" t="s">
        <v>109</v>
      </c>
      <c r="J2443" s="2" t="s">
        <v>155</v>
      </c>
      <c r="K2443" s="2" t="s">
        <v>1513</v>
      </c>
      <c r="L2443" s="3">
        <v>0.36944444444444446</v>
      </c>
      <c r="M2443" s="2" t="s">
        <v>1730</v>
      </c>
      <c r="N2443" s="2" t="s">
        <v>500</v>
      </c>
      <c r="O2443" s="2"/>
    </row>
    <row r="2444" spans="1:15" x14ac:dyDescent="0.25">
      <c r="A2444" s="2" t="s">
        <v>15</v>
      </c>
      <c r="B2444" s="2" t="str">
        <f>"FES1162770598"</f>
        <v>FES1162770598</v>
      </c>
      <c r="C2444" s="2" t="s">
        <v>1506</v>
      </c>
      <c r="D2444" s="2">
        <v>1</v>
      </c>
      <c r="E2444" s="2" t="str">
        <f>"2170757879"</f>
        <v>2170757879</v>
      </c>
      <c r="F2444" s="2" t="s">
        <v>17</v>
      </c>
      <c r="G2444" s="2" t="s">
        <v>18</v>
      </c>
      <c r="H2444" s="2" t="s">
        <v>18</v>
      </c>
      <c r="I2444" s="2" t="s">
        <v>46</v>
      </c>
      <c r="J2444" s="2" t="s">
        <v>139</v>
      </c>
      <c r="K2444" s="2" t="s">
        <v>1513</v>
      </c>
      <c r="L2444" s="3">
        <v>0.43402777777777773</v>
      </c>
      <c r="M2444" s="2" t="s">
        <v>1776</v>
      </c>
      <c r="N2444" s="2" t="s">
        <v>500</v>
      </c>
      <c r="O2444" s="2"/>
    </row>
    <row r="2445" spans="1:15" x14ac:dyDescent="0.25">
      <c r="A2445" s="2" t="s">
        <v>15</v>
      </c>
      <c r="B2445" s="2" t="str">
        <f>"FES1162770606"</f>
        <v>FES1162770606</v>
      </c>
      <c r="C2445" s="2" t="s">
        <v>1506</v>
      </c>
      <c r="D2445" s="2">
        <v>1</v>
      </c>
      <c r="E2445" s="2" t="str">
        <f>"2170757886"</f>
        <v>2170757886</v>
      </c>
      <c r="F2445" s="2" t="s">
        <v>17</v>
      </c>
      <c r="G2445" s="2" t="s">
        <v>18</v>
      </c>
      <c r="H2445" s="2" t="s">
        <v>25</v>
      </c>
      <c r="I2445" s="2" t="s">
        <v>26</v>
      </c>
      <c r="J2445" s="2" t="s">
        <v>44</v>
      </c>
      <c r="K2445" s="2" t="s">
        <v>1513</v>
      </c>
      <c r="L2445" s="3">
        <v>0.40277777777777773</v>
      </c>
      <c r="M2445" s="2" t="s">
        <v>1777</v>
      </c>
      <c r="N2445" s="2" t="s">
        <v>500</v>
      </c>
      <c r="O2445" s="2"/>
    </row>
    <row r="2446" spans="1:15" x14ac:dyDescent="0.25">
      <c r="A2446" s="2" t="s">
        <v>15</v>
      </c>
      <c r="B2446" s="2" t="str">
        <f>"FES1162770593"</f>
        <v>FES1162770593</v>
      </c>
      <c r="C2446" s="2" t="s">
        <v>1506</v>
      </c>
      <c r="D2446" s="2">
        <v>1</v>
      </c>
      <c r="E2446" s="2" t="str">
        <f>"2170757737"</f>
        <v>2170757737</v>
      </c>
      <c r="F2446" s="2" t="s">
        <v>17</v>
      </c>
      <c r="G2446" s="2" t="s">
        <v>18</v>
      </c>
      <c r="H2446" s="2" t="s">
        <v>18</v>
      </c>
      <c r="I2446" s="2" t="s">
        <v>46</v>
      </c>
      <c r="J2446" s="2" t="s">
        <v>285</v>
      </c>
      <c r="K2446" s="2" t="s">
        <v>1513</v>
      </c>
      <c r="L2446" s="3">
        <v>0.30555555555555552</v>
      </c>
      <c r="M2446" s="2" t="s">
        <v>1701</v>
      </c>
      <c r="N2446" s="2" t="s">
        <v>500</v>
      </c>
      <c r="O2446" s="2"/>
    </row>
    <row r="2447" spans="1:15" x14ac:dyDescent="0.25">
      <c r="A2447" s="2" t="s">
        <v>15</v>
      </c>
      <c r="B2447" s="2" t="str">
        <f>"FES1162770595"</f>
        <v>FES1162770595</v>
      </c>
      <c r="C2447" s="2" t="s">
        <v>1506</v>
      </c>
      <c r="D2447" s="2">
        <v>1</v>
      </c>
      <c r="E2447" s="2" t="str">
        <f>"2170757876"</f>
        <v>2170757876</v>
      </c>
      <c r="F2447" s="2" t="s">
        <v>17</v>
      </c>
      <c r="G2447" s="2" t="s">
        <v>18</v>
      </c>
      <c r="H2447" s="2" t="s">
        <v>19</v>
      </c>
      <c r="I2447" s="2" t="s">
        <v>20</v>
      </c>
      <c r="J2447" s="2" t="s">
        <v>21</v>
      </c>
      <c r="K2447" s="2" t="s">
        <v>1513</v>
      </c>
      <c r="L2447" s="3">
        <v>0.4375</v>
      </c>
      <c r="M2447" s="2" t="s">
        <v>1778</v>
      </c>
      <c r="N2447" s="2" t="s">
        <v>500</v>
      </c>
      <c r="O2447" s="2"/>
    </row>
    <row r="2448" spans="1:15" x14ac:dyDescent="0.25">
      <c r="A2448" s="2" t="s">
        <v>15</v>
      </c>
      <c r="B2448" s="2" t="str">
        <f>"FES1162770596"</f>
        <v>FES1162770596</v>
      </c>
      <c r="C2448" s="2" t="s">
        <v>1506</v>
      </c>
      <c r="D2448" s="2">
        <v>1</v>
      </c>
      <c r="E2448" s="2" t="str">
        <f>"2170757877"</f>
        <v>2170757877</v>
      </c>
      <c r="F2448" s="2" t="s">
        <v>17</v>
      </c>
      <c r="G2448" s="2" t="s">
        <v>18</v>
      </c>
      <c r="H2448" s="2" t="s">
        <v>18</v>
      </c>
      <c r="I2448" s="2" t="s">
        <v>46</v>
      </c>
      <c r="J2448" s="2" t="s">
        <v>915</v>
      </c>
      <c r="K2448" s="2" t="s">
        <v>1513</v>
      </c>
      <c r="L2448" s="3">
        <v>0.30555555555555552</v>
      </c>
      <c r="M2448" s="2" t="s">
        <v>1779</v>
      </c>
      <c r="N2448" s="2" t="s">
        <v>500</v>
      </c>
      <c r="O2448" s="2"/>
    </row>
    <row r="2449" spans="1:15" x14ac:dyDescent="0.25">
      <c r="A2449" s="2" t="s">
        <v>15</v>
      </c>
      <c r="B2449" s="2" t="str">
        <f>"FES1162770562"</f>
        <v>FES1162770562</v>
      </c>
      <c r="C2449" s="2" t="s">
        <v>1506</v>
      </c>
      <c r="D2449" s="2">
        <v>1</v>
      </c>
      <c r="E2449" s="2" t="str">
        <f>"2170754852"</f>
        <v>2170754852</v>
      </c>
      <c r="F2449" s="2" t="s">
        <v>17</v>
      </c>
      <c r="G2449" s="2" t="s">
        <v>18</v>
      </c>
      <c r="H2449" s="2" t="s">
        <v>18</v>
      </c>
      <c r="I2449" s="2" t="s">
        <v>63</v>
      </c>
      <c r="J2449" s="2" t="s">
        <v>142</v>
      </c>
      <c r="K2449" s="2" t="s">
        <v>1513</v>
      </c>
      <c r="L2449" s="3">
        <v>0.37152777777777773</v>
      </c>
      <c r="M2449" s="2" t="s">
        <v>1780</v>
      </c>
      <c r="N2449" s="2" t="s">
        <v>500</v>
      </c>
      <c r="O2449" s="2"/>
    </row>
    <row r="2450" spans="1:15" x14ac:dyDescent="0.25">
      <c r="A2450" s="2" t="s">
        <v>15</v>
      </c>
      <c r="B2450" s="2" t="str">
        <f>"FES1162770547"</f>
        <v>FES1162770547</v>
      </c>
      <c r="C2450" s="2" t="s">
        <v>1506</v>
      </c>
      <c r="D2450" s="2">
        <v>1</v>
      </c>
      <c r="E2450" s="2" t="str">
        <f>"2170757814"</f>
        <v>2170757814</v>
      </c>
      <c r="F2450" s="2" t="s">
        <v>17</v>
      </c>
      <c r="G2450" s="2" t="s">
        <v>18</v>
      </c>
      <c r="H2450" s="2" t="s">
        <v>36</v>
      </c>
      <c r="I2450" s="2" t="s">
        <v>496</v>
      </c>
      <c r="J2450" s="2" t="s">
        <v>497</v>
      </c>
      <c r="K2450" s="2" t="s">
        <v>1513</v>
      </c>
      <c r="L2450" s="3">
        <v>0.68125000000000002</v>
      </c>
      <c r="M2450" s="2" t="s">
        <v>1176</v>
      </c>
      <c r="N2450" s="2" t="s">
        <v>500</v>
      </c>
      <c r="O2450" s="2"/>
    </row>
    <row r="2451" spans="1:15" x14ac:dyDescent="0.25">
      <c r="A2451" s="2" t="s">
        <v>15</v>
      </c>
      <c r="B2451" s="2" t="str">
        <f>"FES1162770585"</f>
        <v>FES1162770585</v>
      </c>
      <c r="C2451" s="2" t="s">
        <v>1506</v>
      </c>
      <c r="D2451" s="2">
        <v>1</v>
      </c>
      <c r="E2451" s="2" t="str">
        <f>"2170757859"</f>
        <v>2170757859</v>
      </c>
      <c r="F2451" s="2" t="s">
        <v>17</v>
      </c>
      <c r="G2451" s="2" t="s">
        <v>18</v>
      </c>
      <c r="H2451" s="2" t="s">
        <v>36</v>
      </c>
      <c r="I2451" s="2" t="s">
        <v>37</v>
      </c>
      <c r="J2451" s="2" t="s">
        <v>102</v>
      </c>
      <c r="K2451" s="2" t="s">
        <v>1513</v>
      </c>
      <c r="L2451" s="3">
        <v>0.55347222222222225</v>
      </c>
      <c r="M2451" s="2" t="s">
        <v>219</v>
      </c>
      <c r="N2451" s="2" t="s">
        <v>500</v>
      </c>
      <c r="O2451" s="2"/>
    </row>
    <row r="2452" spans="1:15" x14ac:dyDescent="0.25">
      <c r="A2452" s="2" t="s">
        <v>15</v>
      </c>
      <c r="B2452" s="2" t="str">
        <f>"FES1162770592"</f>
        <v>FES1162770592</v>
      </c>
      <c r="C2452" s="2" t="s">
        <v>1506</v>
      </c>
      <c r="D2452" s="2">
        <v>1</v>
      </c>
      <c r="E2452" s="2" t="str">
        <f>"2170757506"</f>
        <v>2170757506</v>
      </c>
      <c r="F2452" s="2" t="s">
        <v>17</v>
      </c>
      <c r="G2452" s="2" t="s">
        <v>18</v>
      </c>
      <c r="H2452" s="2" t="s">
        <v>19</v>
      </c>
      <c r="I2452" s="2" t="s">
        <v>73</v>
      </c>
      <c r="J2452" s="2" t="s">
        <v>1226</v>
      </c>
      <c r="K2452" s="2" t="s">
        <v>1513</v>
      </c>
      <c r="L2452" s="3">
        <v>0.4375</v>
      </c>
      <c r="M2452" s="2" t="s">
        <v>1781</v>
      </c>
      <c r="N2452" s="2" t="s">
        <v>500</v>
      </c>
      <c r="O2452" s="2"/>
    </row>
    <row r="2453" spans="1:15" x14ac:dyDescent="0.25">
      <c r="A2453" s="2" t="s">
        <v>15</v>
      </c>
      <c r="B2453" s="2" t="str">
        <f>"FES1162770542"</f>
        <v>FES1162770542</v>
      </c>
      <c r="C2453" s="2" t="s">
        <v>1506</v>
      </c>
      <c r="D2453" s="2">
        <v>1</v>
      </c>
      <c r="E2453" s="2" t="str">
        <f>"2170757809"</f>
        <v>2170757809</v>
      </c>
      <c r="F2453" s="2" t="s">
        <v>17</v>
      </c>
      <c r="G2453" s="2" t="s">
        <v>18</v>
      </c>
      <c r="H2453" s="2" t="s">
        <v>36</v>
      </c>
      <c r="I2453" s="2" t="s">
        <v>37</v>
      </c>
      <c r="J2453" s="2" t="s">
        <v>55</v>
      </c>
      <c r="K2453" s="2" t="s">
        <v>1513</v>
      </c>
      <c r="L2453" s="3">
        <v>0.38055555555555554</v>
      </c>
      <c r="M2453" s="2" t="s">
        <v>1683</v>
      </c>
      <c r="N2453" s="2" t="s">
        <v>500</v>
      </c>
      <c r="O2453" s="2"/>
    </row>
    <row r="2454" spans="1:15" x14ac:dyDescent="0.25">
      <c r="A2454" s="2" t="s">
        <v>15</v>
      </c>
      <c r="B2454" s="2" t="str">
        <f>"FES1162770591"</f>
        <v>FES1162770591</v>
      </c>
      <c r="C2454" s="2" t="s">
        <v>1506</v>
      </c>
      <c r="D2454" s="2">
        <v>1</v>
      </c>
      <c r="E2454" s="2" t="str">
        <f>"2170757871"</f>
        <v>2170757871</v>
      </c>
      <c r="F2454" s="2" t="s">
        <v>17</v>
      </c>
      <c r="G2454" s="2" t="s">
        <v>18</v>
      </c>
      <c r="H2454" s="2" t="s">
        <v>33</v>
      </c>
      <c r="I2454" s="2" t="s">
        <v>34</v>
      </c>
      <c r="J2454" s="2" t="s">
        <v>400</v>
      </c>
      <c r="K2454" s="2" t="s">
        <v>1513</v>
      </c>
      <c r="L2454" s="3">
        <v>0.43333333333333335</v>
      </c>
      <c r="M2454" s="2" t="s">
        <v>595</v>
      </c>
      <c r="N2454" s="2" t="s">
        <v>500</v>
      </c>
      <c r="O2454" s="2"/>
    </row>
    <row r="2455" spans="1:15" x14ac:dyDescent="0.25">
      <c r="A2455" s="2" t="s">
        <v>15</v>
      </c>
      <c r="B2455" s="2" t="str">
        <f>"FES1162770563"</f>
        <v>FES1162770563</v>
      </c>
      <c r="C2455" s="2" t="s">
        <v>1506</v>
      </c>
      <c r="D2455" s="2">
        <v>1</v>
      </c>
      <c r="E2455" s="2" t="str">
        <f>"2170756929"</f>
        <v>2170756929</v>
      </c>
      <c r="F2455" s="2" t="s">
        <v>17</v>
      </c>
      <c r="G2455" s="2" t="s">
        <v>18</v>
      </c>
      <c r="H2455" s="2" t="s">
        <v>33</v>
      </c>
      <c r="I2455" s="2" t="s">
        <v>34</v>
      </c>
      <c r="J2455" s="2" t="s">
        <v>400</v>
      </c>
      <c r="K2455" s="2" t="s">
        <v>1513</v>
      </c>
      <c r="L2455" s="3">
        <v>0.43333333333333335</v>
      </c>
      <c r="M2455" s="2" t="s">
        <v>595</v>
      </c>
      <c r="N2455" s="2" t="s">
        <v>500</v>
      </c>
      <c r="O2455" s="2"/>
    </row>
    <row r="2456" spans="1:15" x14ac:dyDescent="0.25">
      <c r="A2456" s="2" t="s">
        <v>15</v>
      </c>
      <c r="B2456" s="2" t="str">
        <f>"FES1162770604"</f>
        <v>FES1162770604</v>
      </c>
      <c r="C2456" s="2" t="s">
        <v>1506</v>
      </c>
      <c r="D2456" s="2">
        <v>1</v>
      </c>
      <c r="E2456" s="2" t="str">
        <f>"2170757881"</f>
        <v>2170757881</v>
      </c>
      <c r="F2456" s="2" t="s">
        <v>17</v>
      </c>
      <c r="G2456" s="2" t="s">
        <v>18</v>
      </c>
      <c r="H2456" s="2" t="s">
        <v>18</v>
      </c>
      <c r="I2456" s="2" t="s">
        <v>46</v>
      </c>
      <c r="J2456" s="2" t="s">
        <v>1782</v>
      </c>
      <c r="K2456" s="2" t="s">
        <v>1513</v>
      </c>
      <c r="L2456" s="3">
        <v>0.35416666666666669</v>
      </c>
      <c r="M2456" s="2" t="s">
        <v>1783</v>
      </c>
      <c r="N2456" s="2" t="s">
        <v>500</v>
      </c>
      <c r="O2456" s="2"/>
    </row>
    <row r="2457" spans="1:15" x14ac:dyDescent="0.25">
      <c r="A2457" s="2" t="s">
        <v>15</v>
      </c>
      <c r="B2457" s="2" t="str">
        <f>"FES1162770605"</f>
        <v>FES1162770605</v>
      </c>
      <c r="C2457" s="2" t="s">
        <v>1506</v>
      </c>
      <c r="D2457" s="2">
        <v>1</v>
      </c>
      <c r="E2457" s="2" t="str">
        <f>"2170757884"</f>
        <v>2170757884</v>
      </c>
      <c r="F2457" s="2" t="s">
        <v>17</v>
      </c>
      <c r="G2457" s="2" t="s">
        <v>18</v>
      </c>
      <c r="H2457" s="2" t="s">
        <v>88</v>
      </c>
      <c r="I2457" s="2" t="s">
        <v>109</v>
      </c>
      <c r="J2457" s="2" t="s">
        <v>155</v>
      </c>
      <c r="K2457" s="2" t="s">
        <v>1513</v>
      </c>
      <c r="L2457" s="3">
        <v>0.36944444444444446</v>
      </c>
      <c r="M2457" s="2" t="s">
        <v>1730</v>
      </c>
      <c r="N2457" s="2" t="s">
        <v>500</v>
      </c>
      <c r="O2457" s="2"/>
    </row>
    <row r="2458" spans="1:15" x14ac:dyDescent="0.25">
      <c r="A2458" s="2" t="s">
        <v>15</v>
      </c>
      <c r="B2458" s="2" t="str">
        <f>"FES1162770574"</f>
        <v>FES1162770574</v>
      </c>
      <c r="C2458" s="2" t="s">
        <v>1506</v>
      </c>
      <c r="D2458" s="2">
        <v>1</v>
      </c>
      <c r="E2458" s="2" t="str">
        <f>"2170757847"</f>
        <v>2170757847</v>
      </c>
      <c r="F2458" s="2" t="s">
        <v>17</v>
      </c>
      <c r="G2458" s="2" t="s">
        <v>18</v>
      </c>
      <c r="H2458" s="2" t="s">
        <v>19</v>
      </c>
      <c r="I2458" s="2" t="s">
        <v>20</v>
      </c>
      <c r="J2458" s="2" t="s">
        <v>21</v>
      </c>
      <c r="K2458" s="2" t="s">
        <v>1513</v>
      </c>
      <c r="L2458" s="3">
        <v>0.4375</v>
      </c>
      <c r="M2458" s="2" t="s">
        <v>1733</v>
      </c>
      <c r="N2458" s="2" t="s">
        <v>500</v>
      </c>
      <c r="O2458" s="2"/>
    </row>
    <row r="2459" spans="1:15" x14ac:dyDescent="0.25">
      <c r="A2459" s="2" t="s">
        <v>15</v>
      </c>
      <c r="B2459" s="2" t="str">
        <f>"FES1162770599"</f>
        <v>FES1162770599</v>
      </c>
      <c r="C2459" s="2" t="s">
        <v>1506</v>
      </c>
      <c r="D2459" s="2">
        <v>2</v>
      </c>
      <c r="E2459" s="2" t="str">
        <f>"2170757880"</f>
        <v>2170757880</v>
      </c>
      <c r="F2459" s="2" t="s">
        <v>17</v>
      </c>
      <c r="G2459" s="2" t="s">
        <v>18</v>
      </c>
      <c r="H2459" s="2" t="s">
        <v>19</v>
      </c>
      <c r="I2459" s="2" t="s">
        <v>20</v>
      </c>
      <c r="J2459" s="2" t="s">
        <v>281</v>
      </c>
      <c r="K2459" s="2" t="s">
        <v>1513</v>
      </c>
      <c r="L2459" s="3">
        <v>0.4375</v>
      </c>
      <c r="M2459" s="2" t="s">
        <v>1784</v>
      </c>
      <c r="N2459" s="2" t="s">
        <v>500</v>
      </c>
      <c r="O2459" s="2"/>
    </row>
    <row r="2460" spans="1:15" x14ac:dyDescent="0.25">
      <c r="A2460" s="2" t="s">
        <v>15</v>
      </c>
      <c r="B2460" s="2" t="str">
        <f>"FES1162770601"</f>
        <v>FES1162770601</v>
      </c>
      <c r="C2460" s="2" t="s">
        <v>1506</v>
      </c>
      <c r="D2460" s="2">
        <v>1</v>
      </c>
      <c r="E2460" s="2" t="str">
        <f>"2170757887"</f>
        <v>2170757887</v>
      </c>
      <c r="F2460" s="2" t="s">
        <v>17</v>
      </c>
      <c r="G2460" s="2" t="s">
        <v>18</v>
      </c>
      <c r="H2460" s="2" t="s">
        <v>19</v>
      </c>
      <c r="I2460" s="2" t="s">
        <v>20</v>
      </c>
      <c r="J2460" s="2" t="s">
        <v>29</v>
      </c>
      <c r="K2460" s="2" t="s">
        <v>1513</v>
      </c>
      <c r="L2460" s="3">
        <v>0.4375</v>
      </c>
      <c r="M2460" s="2" t="s">
        <v>1785</v>
      </c>
      <c r="N2460" s="2" t="s">
        <v>500</v>
      </c>
      <c r="O2460" s="2"/>
    </row>
    <row r="2461" spans="1:15" x14ac:dyDescent="0.25">
      <c r="A2461" s="2" t="s">
        <v>15</v>
      </c>
      <c r="B2461" s="2" t="str">
        <f>"FES1162770600"</f>
        <v>FES1162770600</v>
      </c>
      <c r="C2461" s="2" t="s">
        <v>1506</v>
      </c>
      <c r="D2461" s="2">
        <v>1</v>
      </c>
      <c r="E2461" s="2" t="str">
        <f>"2170757885"</f>
        <v>2170757885</v>
      </c>
      <c r="F2461" s="2" t="s">
        <v>205</v>
      </c>
      <c r="G2461" s="2" t="s">
        <v>206</v>
      </c>
      <c r="H2461" s="2" t="s">
        <v>36</v>
      </c>
      <c r="I2461" s="2" t="s">
        <v>67</v>
      </c>
      <c r="J2461" s="2" t="s">
        <v>902</v>
      </c>
      <c r="K2461" s="2" t="s">
        <v>1762</v>
      </c>
      <c r="L2461" s="3">
        <v>0.42708333333333331</v>
      </c>
      <c r="M2461" s="2" t="s">
        <v>1844</v>
      </c>
      <c r="N2461" s="2" t="s">
        <v>500</v>
      </c>
      <c r="O2461" s="2"/>
    </row>
    <row r="2462" spans="1:15" x14ac:dyDescent="0.25">
      <c r="A2462" s="2" t="s">
        <v>15</v>
      </c>
      <c r="B2462" s="2" t="str">
        <f>"009940283621"</f>
        <v>009940283621</v>
      </c>
      <c r="C2462" s="2" t="s">
        <v>1506</v>
      </c>
      <c r="D2462" s="2">
        <v>1</v>
      </c>
      <c r="E2462" s="2" t="str">
        <f>"1162759583"</f>
        <v>1162759583</v>
      </c>
      <c r="F2462" s="2" t="s">
        <v>17</v>
      </c>
      <c r="G2462" s="2" t="s">
        <v>18</v>
      </c>
      <c r="H2462" s="2" t="s">
        <v>88</v>
      </c>
      <c r="I2462" s="2" t="s">
        <v>109</v>
      </c>
      <c r="J2462" s="2" t="s">
        <v>452</v>
      </c>
      <c r="K2462" s="2" t="s">
        <v>1513</v>
      </c>
      <c r="L2462" s="3">
        <v>0.45347222222222222</v>
      </c>
      <c r="M2462" s="2" t="s">
        <v>1786</v>
      </c>
      <c r="N2462" s="2" t="s">
        <v>500</v>
      </c>
      <c r="O2462" s="2"/>
    </row>
    <row r="2463" spans="1:15" x14ac:dyDescent="0.25">
      <c r="A2463" s="5" t="s">
        <v>15</v>
      </c>
      <c r="B2463" s="5" t="str">
        <f>"009940283622"</f>
        <v>009940283622</v>
      </c>
      <c r="C2463" s="5" t="s">
        <v>1506</v>
      </c>
      <c r="D2463" s="5">
        <v>1</v>
      </c>
      <c r="E2463" s="5" t="str">
        <f>"2170755234"</f>
        <v>2170755234</v>
      </c>
      <c r="F2463" s="5" t="s">
        <v>17</v>
      </c>
      <c r="G2463" s="5" t="s">
        <v>18</v>
      </c>
      <c r="H2463" s="5" t="s">
        <v>33</v>
      </c>
      <c r="I2463" s="5" t="s">
        <v>1300</v>
      </c>
      <c r="J2463" s="5" t="s">
        <v>1301</v>
      </c>
      <c r="K2463" s="5" t="s">
        <v>1762</v>
      </c>
      <c r="L2463" s="9">
        <v>0.25555555555555559</v>
      </c>
      <c r="M2463" s="5" t="s">
        <v>2071</v>
      </c>
      <c r="N2463" s="5" t="s">
        <v>500</v>
      </c>
      <c r="O2463" s="5"/>
    </row>
    <row r="2464" spans="1:15" x14ac:dyDescent="0.25">
      <c r="A2464" s="2" t="s">
        <v>15</v>
      </c>
      <c r="B2464" s="2" t="str">
        <f>"FES1162770615"</f>
        <v>FES1162770615</v>
      </c>
      <c r="C2464" s="2" t="s">
        <v>1506</v>
      </c>
      <c r="D2464" s="2">
        <v>1</v>
      </c>
      <c r="E2464" s="2" t="str">
        <f>"2170757896"</f>
        <v>2170757896</v>
      </c>
      <c r="F2464" s="2" t="s">
        <v>17</v>
      </c>
      <c r="G2464" s="2" t="s">
        <v>18</v>
      </c>
      <c r="H2464" s="2" t="s">
        <v>25</v>
      </c>
      <c r="I2464" s="2" t="s">
        <v>361</v>
      </c>
      <c r="J2464" s="2" t="s">
        <v>280</v>
      </c>
      <c r="K2464" s="2" t="s">
        <v>1513</v>
      </c>
      <c r="L2464" s="3">
        <v>0.41666666666666669</v>
      </c>
      <c r="M2464" s="2" t="s">
        <v>1633</v>
      </c>
      <c r="N2464" s="2" t="s">
        <v>500</v>
      </c>
      <c r="O2464" s="2"/>
    </row>
    <row r="2465" spans="1:15" x14ac:dyDescent="0.25">
      <c r="A2465" s="2" t="s">
        <v>15</v>
      </c>
      <c r="B2465" s="2" t="str">
        <f>"009940283642"</f>
        <v>009940283642</v>
      </c>
      <c r="C2465" s="2" t="s">
        <v>1506</v>
      </c>
      <c r="D2465" s="2">
        <v>1</v>
      </c>
      <c r="E2465" s="2" t="str">
        <f>"2170750413 REFER 1162768002"</f>
        <v>2170750413 REFER 1162768002</v>
      </c>
      <c r="F2465" s="2" t="s">
        <v>17</v>
      </c>
      <c r="G2465" s="2" t="s">
        <v>18</v>
      </c>
      <c r="H2465" s="2" t="s">
        <v>1034</v>
      </c>
      <c r="I2465" s="2" t="s">
        <v>1238</v>
      </c>
      <c r="J2465" s="2" t="s">
        <v>1239</v>
      </c>
      <c r="K2465" s="2" t="s">
        <v>1513</v>
      </c>
      <c r="L2465" s="3">
        <v>0.47222222222222227</v>
      </c>
      <c r="M2465" s="2" t="s">
        <v>563</v>
      </c>
      <c r="N2465" s="2" t="s">
        <v>500</v>
      </c>
      <c r="O2465" s="2"/>
    </row>
    <row r="2466" spans="1:15" x14ac:dyDescent="0.25">
      <c r="A2466" s="2" t="s">
        <v>15</v>
      </c>
      <c r="B2466" s="2" t="str">
        <f>"FES1162770607"</f>
        <v>FES1162770607</v>
      </c>
      <c r="C2466" s="2" t="s">
        <v>1506</v>
      </c>
      <c r="D2466" s="2">
        <v>1</v>
      </c>
      <c r="E2466" s="2" t="str">
        <f>"2170757888"</f>
        <v>2170757888</v>
      </c>
      <c r="F2466" s="2" t="s">
        <v>17</v>
      </c>
      <c r="G2466" s="2" t="s">
        <v>18</v>
      </c>
      <c r="H2466" s="2" t="s">
        <v>120</v>
      </c>
      <c r="I2466" s="2" t="s">
        <v>121</v>
      </c>
      <c r="J2466" s="2" t="s">
        <v>122</v>
      </c>
      <c r="K2466" s="2" t="s">
        <v>1513</v>
      </c>
      <c r="L2466" s="3">
        <v>0.58333333333333337</v>
      </c>
      <c r="M2466" s="2" t="s">
        <v>1787</v>
      </c>
      <c r="N2466" s="2" t="s">
        <v>500</v>
      </c>
      <c r="O2466" s="2"/>
    </row>
    <row r="2467" spans="1:15" x14ac:dyDescent="0.25">
      <c r="A2467" s="2" t="s">
        <v>15</v>
      </c>
      <c r="B2467" s="2" t="str">
        <f>"FES1162770608"</f>
        <v>FES1162770608</v>
      </c>
      <c r="C2467" s="2" t="s">
        <v>1506</v>
      </c>
      <c r="D2467" s="2">
        <v>1</v>
      </c>
      <c r="E2467" s="2" t="str">
        <f>"2170757890"</f>
        <v>2170757890</v>
      </c>
      <c r="F2467" s="2" t="s">
        <v>17</v>
      </c>
      <c r="G2467" s="2" t="s">
        <v>18</v>
      </c>
      <c r="H2467" s="2" t="s">
        <v>19</v>
      </c>
      <c r="I2467" s="2" t="s">
        <v>20</v>
      </c>
      <c r="J2467" s="2" t="s">
        <v>123</v>
      </c>
      <c r="K2467" s="2" t="s">
        <v>1513</v>
      </c>
      <c r="L2467" s="3">
        <v>0.4375</v>
      </c>
      <c r="M2467" s="2" t="s">
        <v>1722</v>
      </c>
      <c r="N2467" s="2" t="s">
        <v>500</v>
      </c>
      <c r="O2467" s="2"/>
    </row>
    <row r="2468" spans="1:15" x14ac:dyDescent="0.25">
      <c r="A2468" s="2" t="s">
        <v>15</v>
      </c>
      <c r="B2468" s="2" t="str">
        <f>"FES1162769677"</f>
        <v>FES1162769677</v>
      </c>
      <c r="C2468" s="2" t="s">
        <v>1506</v>
      </c>
      <c r="D2468" s="2">
        <v>1</v>
      </c>
      <c r="E2468" s="2" t="str">
        <f>"2170756785"</f>
        <v>2170756785</v>
      </c>
      <c r="F2468" s="2" t="s">
        <v>17</v>
      </c>
      <c r="G2468" s="2" t="s">
        <v>18</v>
      </c>
      <c r="H2468" s="2" t="s">
        <v>18</v>
      </c>
      <c r="I2468" s="2" t="s">
        <v>116</v>
      </c>
      <c r="J2468" s="2" t="s">
        <v>1788</v>
      </c>
      <c r="K2468" s="2" t="s">
        <v>1513</v>
      </c>
      <c r="L2468" s="3">
        <v>0.375</v>
      </c>
      <c r="M2468" s="2" t="s">
        <v>185</v>
      </c>
      <c r="N2468" s="2" t="s">
        <v>500</v>
      </c>
      <c r="O2468" s="2"/>
    </row>
    <row r="2469" spans="1:15" x14ac:dyDescent="0.25">
      <c r="A2469" s="2" t="s">
        <v>15</v>
      </c>
      <c r="B2469" s="2" t="str">
        <f>"FES1162770609"</f>
        <v>FES1162770609</v>
      </c>
      <c r="C2469" s="2" t="s">
        <v>1506</v>
      </c>
      <c r="D2469" s="2">
        <v>1</v>
      </c>
      <c r="E2469" s="2" t="str">
        <f>"2170757892"</f>
        <v>2170757892</v>
      </c>
      <c r="F2469" s="2" t="s">
        <v>17</v>
      </c>
      <c r="G2469" s="2" t="s">
        <v>18</v>
      </c>
      <c r="H2469" s="2" t="s">
        <v>363</v>
      </c>
      <c r="I2469" s="2" t="s">
        <v>364</v>
      </c>
      <c r="J2469" s="2" t="s">
        <v>365</v>
      </c>
      <c r="K2469" s="2" t="s">
        <v>1513</v>
      </c>
      <c r="L2469" s="3">
        <v>0.375</v>
      </c>
      <c r="M2469" s="2" t="s">
        <v>366</v>
      </c>
      <c r="N2469" s="2" t="s">
        <v>500</v>
      </c>
      <c r="O2469" s="2"/>
    </row>
    <row r="2470" spans="1:15" x14ac:dyDescent="0.25">
      <c r="A2470" s="2" t="s">
        <v>15</v>
      </c>
      <c r="B2470" s="2" t="str">
        <f>"FES1162770602"</f>
        <v>FES1162770602</v>
      </c>
      <c r="C2470" s="2" t="s">
        <v>1506</v>
      </c>
      <c r="D2470" s="2">
        <v>1</v>
      </c>
      <c r="E2470" s="2" t="str">
        <f>"2170756612"</f>
        <v>2170756612</v>
      </c>
      <c r="F2470" s="2" t="s">
        <v>17</v>
      </c>
      <c r="G2470" s="2" t="s">
        <v>18</v>
      </c>
      <c r="H2470" s="2" t="s">
        <v>18</v>
      </c>
      <c r="I2470" s="2" t="s">
        <v>50</v>
      </c>
      <c r="J2470" s="2" t="s">
        <v>1789</v>
      </c>
      <c r="K2470" s="2" t="s">
        <v>1513</v>
      </c>
      <c r="L2470" s="3">
        <v>0.41666666666666669</v>
      </c>
      <c r="M2470" s="2" t="s">
        <v>1626</v>
      </c>
      <c r="N2470" s="2" t="s">
        <v>500</v>
      </c>
      <c r="O2470" s="2"/>
    </row>
    <row r="2471" spans="1:15" x14ac:dyDescent="0.25">
      <c r="A2471" s="2" t="s">
        <v>15</v>
      </c>
      <c r="B2471" s="2" t="str">
        <f>"FES1162770603"</f>
        <v>FES1162770603</v>
      </c>
      <c r="C2471" s="2" t="s">
        <v>1506</v>
      </c>
      <c r="D2471" s="2">
        <v>1</v>
      </c>
      <c r="E2471" s="2" t="str">
        <f>"2170757126"</f>
        <v>2170757126</v>
      </c>
      <c r="F2471" s="2" t="s">
        <v>17</v>
      </c>
      <c r="G2471" s="2" t="s">
        <v>18</v>
      </c>
      <c r="H2471" s="2" t="s">
        <v>36</v>
      </c>
      <c r="I2471" s="2" t="s">
        <v>37</v>
      </c>
      <c r="J2471" s="2" t="s">
        <v>1455</v>
      </c>
      <c r="K2471" s="2" t="s">
        <v>1513</v>
      </c>
      <c r="L2471" s="3">
        <v>0.39513888888888887</v>
      </c>
      <c r="M2471" s="2" t="s">
        <v>1790</v>
      </c>
      <c r="N2471" s="2" t="s">
        <v>500</v>
      </c>
      <c r="O2471" s="2"/>
    </row>
    <row r="2472" spans="1:15" x14ac:dyDescent="0.25">
      <c r="A2472" s="2" t="s">
        <v>15</v>
      </c>
      <c r="B2472" s="2" t="str">
        <f>"FES1162770724"</f>
        <v>FES1162770724</v>
      </c>
      <c r="C2472" s="2" t="s">
        <v>1513</v>
      </c>
      <c r="D2472" s="2">
        <v>1</v>
      </c>
      <c r="E2472" s="2" t="str">
        <f>"2170755990"</f>
        <v>2170755990</v>
      </c>
      <c r="F2472" s="2" t="s">
        <v>17</v>
      </c>
      <c r="G2472" s="2" t="s">
        <v>18</v>
      </c>
      <c r="H2472" s="2" t="s">
        <v>18</v>
      </c>
      <c r="I2472" s="2" t="s">
        <v>65</v>
      </c>
      <c r="J2472" s="2" t="s">
        <v>1149</v>
      </c>
      <c r="K2472" s="2" t="s">
        <v>1762</v>
      </c>
      <c r="L2472" s="3">
        <v>0.375</v>
      </c>
      <c r="M2472" s="2" t="s">
        <v>1453</v>
      </c>
      <c r="N2472" s="2" t="s">
        <v>500</v>
      </c>
      <c r="O2472" s="2"/>
    </row>
    <row r="2473" spans="1:15" x14ac:dyDescent="0.25">
      <c r="A2473" s="2" t="s">
        <v>15</v>
      </c>
      <c r="B2473" s="2" t="str">
        <f>"FES1162770631"</f>
        <v>FES1162770631</v>
      </c>
      <c r="C2473" s="2" t="s">
        <v>1513</v>
      </c>
      <c r="D2473" s="2">
        <v>1</v>
      </c>
      <c r="E2473" s="2" t="str">
        <f>"2170756543"</f>
        <v>2170756543</v>
      </c>
      <c r="F2473" s="2" t="s">
        <v>17</v>
      </c>
      <c r="G2473" s="2" t="s">
        <v>18</v>
      </c>
      <c r="H2473" s="2" t="s">
        <v>88</v>
      </c>
      <c r="I2473" s="2" t="s">
        <v>109</v>
      </c>
      <c r="J2473" s="2" t="s">
        <v>1791</v>
      </c>
      <c r="K2473" s="2" t="s">
        <v>1762</v>
      </c>
      <c r="L2473" s="3">
        <v>0.4236111111111111</v>
      </c>
      <c r="M2473" s="2" t="s">
        <v>1845</v>
      </c>
      <c r="N2473" s="2" t="s">
        <v>500</v>
      </c>
      <c r="O2473" s="2"/>
    </row>
    <row r="2474" spans="1:15" x14ac:dyDescent="0.25">
      <c r="A2474" s="2" t="s">
        <v>15</v>
      </c>
      <c r="B2474" s="2" t="str">
        <f>"RFES1162769871"</f>
        <v>RFES1162769871</v>
      </c>
      <c r="C2474" s="2" t="s">
        <v>1513</v>
      </c>
      <c r="D2474" s="2">
        <v>1</v>
      </c>
      <c r="E2474" s="2" t="str">
        <f>"2170757151"</f>
        <v>2170757151</v>
      </c>
      <c r="F2474" s="2" t="s">
        <v>17</v>
      </c>
      <c r="G2474" s="2" t="s">
        <v>18</v>
      </c>
      <c r="H2474" s="2" t="s">
        <v>18</v>
      </c>
      <c r="I2474" s="2" t="s">
        <v>46</v>
      </c>
      <c r="J2474" s="2" t="s">
        <v>170</v>
      </c>
      <c r="K2474" s="2" t="s">
        <v>1762</v>
      </c>
      <c r="L2474" s="3">
        <v>0.39166666666666666</v>
      </c>
      <c r="M2474" s="2" t="s">
        <v>1773</v>
      </c>
      <c r="N2474" s="2" t="s">
        <v>500</v>
      </c>
      <c r="O2474" s="2"/>
    </row>
    <row r="2475" spans="1:15" x14ac:dyDescent="0.25">
      <c r="A2475" s="2" t="s">
        <v>15</v>
      </c>
      <c r="B2475" s="2" t="str">
        <f>"FES1162770922"</f>
        <v>FES1162770922</v>
      </c>
      <c r="C2475" s="2" t="s">
        <v>1513</v>
      </c>
      <c r="D2475" s="2">
        <v>1</v>
      </c>
      <c r="E2475" s="2" t="str">
        <f>"2170758030"</f>
        <v>2170758030</v>
      </c>
      <c r="F2475" s="2" t="s">
        <v>17</v>
      </c>
      <c r="G2475" s="2" t="s">
        <v>18</v>
      </c>
      <c r="H2475" s="2" t="s">
        <v>25</v>
      </c>
      <c r="I2475" s="2" t="s">
        <v>42</v>
      </c>
      <c r="J2475" s="2" t="s">
        <v>416</v>
      </c>
      <c r="K2475" s="2" t="s">
        <v>1762</v>
      </c>
      <c r="L2475" s="3">
        <v>0.4375</v>
      </c>
      <c r="M2475" s="2" t="s">
        <v>517</v>
      </c>
      <c r="N2475" s="2" t="s">
        <v>500</v>
      </c>
      <c r="O2475" s="2"/>
    </row>
    <row r="2476" spans="1:15" x14ac:dyDescent="0.25">
      <c r="A2476" s="2" t="s">
        <v>15</v>
      </c>
      <c r="B2476" s="2" t="str">
        <f>"FES1162770838"</f>
        <v>FES1162770838</v>
      </c>
      <c r="C2476" s="2" t="s">
        <v>1513</v>
      </c>
      <c r="D2476" s="2">
        <v>1</v>
      </c>
      <c r="E2476" s="2" t="str">
        <f>"2170757450"</f>
        <v>2170757450</v>
      </c>
      <c r="F2476" s="2" t="s">
        <v>17</v>
      </c>
      <c r="G2476" s="2" t="s">
        <v>18</v>
      </c>
      <c r="H2476" s="2" t="s">
        <v>33</v>
      </c>
      <c r="I2476" s="2" t="s">
        <v>34</v>
      </c>
      <c r="J2476" s="2" t="s">
        <v>1792</v>
      </c>
      <c r="K2476" s="2" t="s">
        <v>1762</v>
      </c>
      <c r="L2476" s="3">
        <v>0.43333333333333335</v>
      </c>
      <c r="M2476" s="2" t="s">
        <v>1846</v>
      </c>
      <c r="N2476" s="2" t="s">
        <v>500</v>
      </c>
      <c r="O2476" s="2"/>
    </row>
    <row r="2477" spans="1:15" x14ac:dyDescent="0.25">
      <c r="A2477" s="2" t="s">
        <v>15</v>
      </c>
      <c r="B2477" s="2" t="str">
        <f>"FES1162770676"</f>
        <v>FES1162770676</v>
      </c>
      <c r="C2477" s="2" t="s">
        <v>1513</v>
      </c>
      <c r="D2477" s="2">
        <v>1</v>
      </c>
      <c r="E2477" s="2" t="str">
        <f>"2170757934"</f>
        <v>2170757934</v>
      </c>
      <c r="F2477" s="2" t="s">
        <v>17</v>
      </c>
      <c r="G2477" s="2" t="s">
        <v>18</v>
      </c>
      <c r="H2477" s="2" t="s">
        <v>18</v>
      </c>
      <c r="I2477" s="2" t="s">
        <v>46</v>
      </c>
      <c r="J2477" s="2" t="s">
        <v>431</v>
      </c>
      <c r="K2477" s="2" t="s">
        <v>1762</v>
      </c>
      <c r="L2477" s="3">
        <v>0.38680555555555557</v>
      </c>
      <c r="M2477" s="2" t="s">
        <v>1847</v>
      </c>
      <c r="N2477" s="2" t="s">
        <v>500</v>
      </c>
      <c r="O2477" s="2"/>
    </row>
    <row r="2478" spans="1:15" x14ac:dyDescent="0.25">
      <c r="A2478" s="2" t="s">
        <v>15</v>
      </c>
      <c r="B2478" s="2" t="str">
        <f>"FES1162770702"</f>
        <v>FES1162770702</v>
      </c>
      <c r="C2478" s="2" t="s">
        <v>1513</v>
      </c>
      <c r="D2478" s="2">
        <v>1</v>
      </c>
      <c r="E2478" s="2" t="str">
        <f>"2170754465"</f>
        <v>2170754465</v>
      </c>
      <c r="F2478" s="2" t="s">
        <v>17</v>
      </c>
      <c r="G2478" s="2" t="s">
        <v>18</v>
      </c>
      <c r="H2478" s="2" t="s">
        <v>19</v>
      </c>
      <c r="I2478" s="2" t="s">
        <v>73</v>
      </c>
      <c r="J2478" s="2" t="s">
        <v>76</v>
      </c>
      <c r="K2478" s="2" t="s">
        <v>1762</v>
      </c>
      <c r="L2478" s="3">
        <v>0.4375</v>
      </c>
      <c r="M2478" s="2" t="s">
        <v>1848</v>
      </c>
      <c r="N2478" s="2" t="s">
        <v>500</v>
      </c>
      <c r="O2478" s="2"/>
    </row>
    <row r="2479" spans="1:15" x14ac:dyDescent="0.25">
      <c r="A2479" s="2" t="s">
        <v>15</v>
      </c>
      <c r="B2479" s="2" t="str">
        <f>"FES1162770881"</f>
        <v>FES1162770881</v>
      </c>
      <c r="C2479" s="2" t="s">
        <v>1513</v>
      </c>
      <c r="D2479" s="2">
        <v>1</v>
      </c>
      <c r="E2479" s="2" t="str">
        <f>"2170757995"</f>
        <v>2170757995</v>
      </c>
      <c r="F2479" s="2" t="s">
        <v>17</v>
      </c>
      <c r="G2479" s="2" t="s">
        <v>18</v>
      </c>
      <c r="H2479" s="2" t="s">
        <v>25</v>
      </c>
      <c r="I2479" s="2" t="s">
        <v>345</v>
      </c>
      <c r="J2479" s="2" t="s">
        <v>346</v>
      </c>
      <c r="K2479" s="2" t="s">
        <v>1897</v>
      </c>
      <c r="L2479" s="3">
        <v>0.55833333333333335</v>
      </c>
      <c r="M2479" s="2" t="s">
        <v>1962</v>
      </c>
      <c r="N2479" s="2" t="s">
        <v>500</v>
      </c>
      <c r="O2479" s="2"/>
    </row>
    <row r="2480" spans="1:15" x14ac:dyDescent="0.25">
      <c r="A2480" s="2" t="s">
        <v>15</v>
      </c>
      <c r="B2480" s="2" t="str">
        <f>"FES1162770681"</f>
        <v>FES1162770681</v>
      </c>
      <c r="C2480" s="2" t="s">
        <v>1513</v>
      </c>
      <c r="D2480" s="2">
        <v>1</v>
      </c>
      <c r="E2480" s="2" t="str">
        <f>"2170757944"</f>
        <v>2170757944</v>
      </c>
      <c r="F2480" s="2" t="s">
        <v>17</v>
      </c>
      <c r="G2480" s="2" t="s">
        <v>18</v>
      </c>
      <c r="H2480" s="2" t="s">
        <v>25</v>
      </c>
      <c r="I2480" s="2" t="s">
        <v>361</v>
      </c>
      <c r="J2480" s="2" t="s">
        <v>1400</v>
      </c>
      <c r="K2480" s="2" t="s">
        <v>1762</v>
      </c>
      <c r="L2480" s="3">
        <v>0.41666666666666669</v>
      </c>
      <c r="M2480" s="2" t="s">
        <v>1849</v>
      </c>
      <c r="N2480" s="2" t="s">
        <v>500</v>
      </c>
      <c r="O2480" s="2"/>
    </row>
    <row r="2481" spans="1:15" x14ac:dyDescent="0.25">
      <c r="A2481" s="2" t="s">
        <v>15</v>
      </c>
      <c r="B2481" s="2" t="str">
        <f>"FES1162770779"</f>
        <v>FES1162770779</v>
      </c>
      <c r="C2481" s="2" t="s">
        <v>1513</v>
      </c>
      <c r="D2481" s="2">
        <v>1</v>
      </c>
      <c r="E2481" s="2" t="str">
        <f>"2170754116"</f>
        <v>2170754116</v>
      </c>
      <c r="F2481" s="2" t="s">
        <v>17</v>
      </c>
      <c r="G2481" s="2" t="s">
        <v>18</v>
      </c>
      <c r="H2481" s="2" t="s">
        <v>19</v>
      </c>
      <c r="I2481" s="2" t="s">
        <v>73</v>
      </c>
      <c r="J2481" s="2" t="s">
        <v>76</v>
      </c>
      <c r="K2481" s="2" t="s">
        <v>1762</v>
      </c>
      <c r="L2481" s="3">
        <v>0.4375</v>
      </c>
      <c r="M2481" s="2" t="s">
        <v>1850</v>
      </c>
      <c r="N2481" s="2" t="s">
        <v>500</v>
      </c>
      <c r="O2481" s="2"/>
    </row>
    <row r="2482" spans="1:15" x14ac:dyDescent="0.25">
      <c r="A2482" s="2" t="s">
        <v>15</v>
      </c>
      <c r="B2482" s="2" t="str">
        <f>"FES1162770775"</f>
        <v>FES1162770775</v>
      </c>
      <c r="C2482" s="2" t="s">
        <v>1513</v>
      </c>
      <c r="D2482" s="2">
        <v>1</v>
      </c>
      <c r="E2482" s="2" t="str">
        <f>"2170753232"</f>
        <v>2170753232</v>
      </c>
      <c r="F2482" s="2" t="s">
        <v>17</v>
      </c>
      <c r="G2482" s="2" t="s">
        <v>18</v>
      </c>
      <c r="H2482" s="2" t="s">
        <v>19</v>
      </c>
      <c r="I2482" s="2" t="s">
        <v>20</v>
      </c>
      <c r="J2482" s="2" t="s">
        <v>21</v>
      </c>
      <c r="K2482" s="2" t="s">
        <v>1762</v>
      </c>
      <c r="L2482" s="3">
        <v>0.4375</v>
      </c>
      <c r="M2482" s="2" t="s">
        <v>1733</v>
      </c>
      <c r="N2482" s="2" t="s">
        <v>500</v>
      </c>
      <c r="O2482" s="2"/>
    </row>
    <row r="2483" spans="1:15" x14ac:dyDescent="0.25">
      <c r="A2483" s="2" t="s">
        <v>15</v>
      </c>
      <c r="B2483" s="2" t="str">
        <f>"FES1162770738"</f>
        <v>FES1162770738</v>
      </c>
      <c r="C2483" s="2" t="s">
        <v>1513</v>
      </c>
      <c r="D2483" s="2">
        <v>1</v>
      </c>
      <c r="E2483" s="2" t="str">
        <f>"2170756146"</f>
        <v>2170756146</v>
      </c>
      <c r="F2483" s="2" t="s">
        <v>17</v>
      </c>
      <c r="G2483" s="2" t="s">
        <v>18</v>
      </c>
      <c r="H2483" s="2" t="s">
        <v>19</v>
      </c>
      <c r="I2483" s="2" t="s">
        <v>20</v>
      </c>
      <c r="J2483" s="2" t="s">
        <v>666</v>
      </c>
      <c r="K2483" s="2" t="s">
        <v>1762</v>
      </c>
      <c r="L2483" s="3">
        <v>0.35625000000000001</v>
      </c>
      <c r="M2483" s="2" t="s">
        <v>1851</v>
      </c>
      <c r="N2483" s="2" t="s">
        <v>500</v>
      </c>
      <c r="O2483" s="2"/>
    </row>
    <row r="2484" spans="1:15" x14ac:dyDescent="0.25">
      <c r="A2484" s="2" t="s">
        <v>15</v>
      </c>
      <c r="B2484" s="2" t="str">
        <f>"FES1162770857"</f>
        <v>FES1162770857</v>
      </c>
      <c r="C2484" s="2" t="s">
        <v>1513</v>
      </c>
      <c r="D2484" s="2">
        <v>1</v>
      </c>
      <c r="E2484" s="2" t="str">
        <f>"2170756400"</f>
        <v>2170756400</v>
      </c>
      <c r="F2484" s="2" t="s">
        <v>17</v>
      </c>
      <c r="G2484" s="2" t="s">
        <v>18</v>
      </c>
      <c r="H2484" s="2" t="s">
        <v>19</v>
      </c>
      <c r="I2484" s="2" t="s">
        <v>73</v>
      </c>
      <c r="J2484" s="2" t="s">
        <v>76</v>
      </c>
      <c r="K2484" s="2" t="s">
        <v>1762</v>
      </c>
      <c r="L2484" s="3">
        <v>0.4375</v>
      </c>
      <c r="M2484" s="2" t="s">
        <v>1848</v>
      </c>
      <c r="N2484" s="2" t="s">
        <v>500</v>
      </c>
      <c r="O2484" s="2"/>
    </row>
    <row r="2485" spans="1:15" x14ac:dyDescent="0.25">
      <c r="A2485" s="2" t="s">
        <v>15</v>
      </c>
      <c r="B2485" s="2" t="str">
        <f>"FES1162770765"</f>
        <v>FES1162770765</v>
      </c>
      <c r="C2485" s="2" t="s">
        <v>1513</v>
      </c>
      <c r="D2485" s="2">
        <v>1</v>
      </c>
      <c r="E2485" s="2" t="str">
        <f>"2170757972"</f>
        <v>2170757972</v>
      </c>
      <c r="F2485" s="2" t="s">
        <v>17</v>
      </c>
      <c r="G2485" s="2" t="s">
        <v>18</v>
      </c>
      <c r="H2485" s="2" t="s">
        <v>78</v>
      </c>
      <c r="I2485" s="2" t="s">
        <v>79</v>
      </c>
      <c r="J2485" s="2" t="s">
        <v>446</v>
      </c>
      <c r="K2485" s="2" t="s">
        <v>1762</v>
      </c>
      <c r="L2485" s="3">
        <v>0.41111111111111115</v>
      </c>
      <c r="M2485" s="2" t="s">
        <v>199</v>
      </c>
      <c r="N2485" s="2" t="s">
        <v>500</v>
      </c>
      <c r="O2485" s="2"/>
    </row>
    <row r="2486" spans="1:15" x14ac:dyDescent="0.25">
      <c r="A2486" s="2" t="s">
        <v>15</v>
      </c>
      <c r="B2486" s="2" t="str">
        <f>"FES1162770713"</f>
        <v>FES1162770713</v>
      </c>
      <c r="C2486" s="2" t="s">
        <v>1513</v>
      </c>
      <c r="D2486" s="2">
        <v>1</v>
      </c>
      <c r="E2486" s="2" t="str">
        <f>"2170755903"</f>
        <v>2170755903</v>
      </c>
      <c r="F2486" s="2" t="s">
        <v>17</v>
      </c>
      <c r="G2486" s="2" t="s">
        <v>18</v>
      </c>
      <c r="H2486" s="2" t="s">
        <v>25</v>
      </c>
      <c r="I2486" s="2" t="s">
        <v>26</v>
      </c>
      <c r="J2486" s="2" t="s">
        <v>455</v>
      </c>
      <c r="K2486" s="2" t="s">
        <v>1762</v>
      </c>
      <c r="L2486" s="3">
        <v>0.41666666666666669</v>
      </c>
      <c r="M2486" s="2" t="s">
        <v>1852</v>
      </c>
      <c r="N2486" s="2" t="s">
        <v>500</v>
      </c>
      <c r="O2486" s="2"/>
    </row>
    <row r="2487" spans="1:15" x14ac:dyDescent="0.25">
      <c r="A2487" s="2" t="s">
        <v>15</v>
      </c>
      <c r="B2487" s="2" t="str">
        <f>"FES1162770634"</f>
        <v>FES1162770634</v>
      </c>
      <c r="C2487" s="2" t="s">
        <v>1513</v>
      </c>
      <c r="D2487" s="2">
        <v>1</v>
      </c>
      <c r="E2487" s="2" t="str">
        <f>"2170756642"</f>
        <v>2170756642</v>
      </c>
      <c r="F2487" s="2" t="s">
        <v>17</v>
      </c>
      <c r="G2487" s="2" t="s">
        <v>18</v>
      </c>
      <c r="H2487" s="2" t="s">
        <v>25</v>
      </c>
      <c r="I2487" s="2" t="s">
        <v>26</v>
      </c>
      <c r="J2487" s="2" t="s">
        <v>27</v>
      </c>
      <c r="K2487" s="2" t="s">
        <v>1762</v>
      </c>
      <c r="L2487" s="3">
        <v>0.41666666666666669</v>
      </c>
      <c r="M2487" s="2" t="s">
        <v>521</v>
      </c>
      <c r="N2487" s="2" t="s">
        <v>500</v>
      </c>
      <c r="O2487" s="2"/>
    </row>
    <row r="2488" spans="1:15" x14ac:dyDescent="0.25">
      <c r="A2488" s="2" t="s">
        <v>15</v>
      </c>
      <c r="B2488" s="2" t="str">
        <f>"FES1162770885"</f>
        <v>FES1162770885</v>
      </c>
      <c r="C2488" s="2" t="s">
        <v>1513</v>
      </c>
      <c r="D2488" s="2">
        <v>1</v>
      </c>
      <c r="E2488" s="2" t="str">
        <f>"2170757996"</f>
        <v>2170757996</v>
      </c>
      <c r="F2488" s="2" t="s">
        <v>17</v>
      </c>
      <c r="G2488" s="2" t="s">
        <v>18</v>
      </c>
      <c r="H2488" s="2" t="s">
        <v>25</v>
      </c>
      <c r="I2488" s="2" t="s">
        <v>26</v>
      </c>
      <c r="J2488" s="2" t="s">
        <v>100</v>
      </c>
      <c r="K2488" s="2" t="s">
        <v>1762</v>
      </c>
      <c r="L2488" s="3">
        <v>0.30902777777777779</v>
      </c>
      <c r="M2488" s="2" t="s">
        <v>1853</v>
      </c>
      <c r="N2488" s="2" t="s">
        <v>500</v>
      </c>
      <c r="O2488" s="2"/>
    </row>
    <row r="2489" spans="1:15" x14ac:dyDescent="0.25">
      <c r="A2489" s="2" t="s">
        <v>15</v>
      </c>
      <c r="B2489" s="2" t="str">
        <f>"FES1162770758"</f>
        <v>FES1162770758</v>
      </c>
      <c r="C2489" s="2" t="s">
        <v>1513</v>
      </c>
      <c r="D2489" s="2">
        <v>1</v>
      </c>
      <c r="E2489" s="2" t="str">
        <f>"2170757967"</f>
        <v>2170757967</v>
      </c>
      <c r="F2489" s="2" t="s">
        <v>17</v>
      </c>
      <c r="G2489" s="2" t="s">
        <v>18</v>
      </c>
      <c r="H2489" s="2" t="s">
        <v>25</v>
      </c>
      <c r="I2489" s="2" t="s">
        <v>26</v>
      </c>
      <c r="J2489" s="2" t="s">
        <v>1793</v>
      </c>
      <c r="K2489" s="2" t="s">
        <v>1762</v>
      </c>
      <c r="L2489" s="3">
        <v>0.41666666666666669</v>
      </c>
      <c r="M2489" s="2" t="s">
        <v>1854</v>
      </c>
      <c r="N2489" s="2" t="s">
        <v>500</v>
      </c>
      <c r="O2489" s="2"/>
    </row>
    <row r="2490" spans="1:15" x14ac:dyDescent="0.25">
      <c r="A2490" s="2" t="s">
        <v>15</v>
      </c>
      <c r="B2490" s="2" t="str">
        <f>"FES1162770675"</f>
        <v>FES1162770675</v>
      </c>
      <c r="C2490" s="2" t="s">
        <v>1513</v>
      </c>
      <c r="D2490" s="2">
        <v>1</v>
      </c>
      <c r="E2490" s="2" t="str">
        <f>"2170757932"</f>
        <v>2170757932</v>
      </c>
      <c r="F2490" s="2" t="s">
        <v>17</v>
      </c>
      <c r="G2490" s="2" t="s">
        <v>18</v>
      </c>
      <c r="H2490" s="2" t="s">
        <v>25</v>
      </c>
      <c r="I2490" s="2" t="s">
        <v>26</v>
      </c>
      <c r="J2490" s="2" t="s">
        <v>1794</v>
      </c>
      <c r="K2490" s="2" t="s">
        <v>1762</v>
      </c>
      <c r="L2490" s="3">
        <v>0.41666666666666669</v>
      </c>
      <c r="M2490" s="2" t="s">
        <v>1855</v>
      </c>
      <c r="N2490" s="2" t="s">
        <v>500</v>
      </c>
      <c r="O2490" s="2"/>
    </row>
    <row r="2491" spans="1:15" x14ac:dyDescent="0.25">
      <c r="A2491" s="2" t="s">
        <v>15</v>
      </c>
      <c r="B2491" s="2" t="str">
        <f>"FES1162770646"</f>
        <v>FES1162770646</v>
      </c>
      <c r="C2491" s="2" t="s">
        <v>1513</v>
      </c>
      <c r="D2491" s="2">
        <v>1</v>
      </c>
      <c r="E2491" s="2" t="str">
        <f>"2170757305"</f>
        <v>2170757305</v>
      </c>
      <c r="F2491" s="2" t="s">
        <v>17</v>
      </c>
      <c r="G2491" s="2" t="s">
        <v>18</v>
      </c>
      <c r="H2491" s="2" t="s">
        <v>18</v>
      </c>
      <c r="I2491" s="2" t="s">
        <v>46</v>
      </c>
      <c r="J2491" s="2" t="s">
        <v>1304</v>
      </c>
      <c r="K2491" s="2" t="s">
        <v>1762</v>
      </c>
      <c r="L2491" s="3">
        <v>0.30208333333333331</v>
      </c>
      <c r="M2491" s="2" t="s">
        <v>1856</v>
      </c>
      <c r="N2491" s="2" t="s">
        <v>500</v>
      </c>
      <c r="O2491" s="2"/>
    </row>
    <row r="2492" spans="1:15" x14ac:dyDescent="0.25">
      <c r="A2492" s="2" t="s">
        <v>15</v>
      </c>
      <c r="B2492" s="2" t="str">
        <f>"FES1162770683"</f>
        <v>FES1162770683</v>
      </c>
      <c r="C2492" s="2" t="s">
        <v>1513</v>
      </c>
      <c r="D2492" s="2">
        <v>2</v>
      </c>
      <c r="E2492" s="2" t="str">
        <f>"2170755630"</f>
        <v>2170755630</v>
      </c>
      <c r="F2492" s="2" t="s">
        <v>17</v>
      </c>
      <c r="G2492" s="2" t="s">
        <v>18</v>
      </c>
      <c r="H2492" s="2" t="s">
        <v>36</v>
      </c>
      <c r="I2492" s="2" t="s">
        <v>37</v>
      </c>
      <c r="J2492" s="2" t="s">
        <v>378</v>
      </c>
      <c r="K2492" s="2" t="s">
        <v>1762</v>
      </c>
      <c r="L2492" s="3">
        <v>0.4375</v>
      </c>
      <c r="M2492" s="2" t="s">
        <v>1843</v>
      </c>
      <c r="N2492" s="2" t="s">
        <v>500</v>
      </c>
      <c r="O2492" s="2"/>
    </row>
    <row r="2493" spans="1:15" x14ac:dyDescent="0.25">
      <c r="A2493" s="2" t="s">
        <v>15</v>
      </c>
      <c r="B2493" s="2" t="str">
        <f>"FES1162770825"</f>
        <v>FES1162770825</v>
      </c>
      <c r="C2493" s="2" t="s">
        <v>1513</v>
      </c>
      <c r="D2493" s="2">
        <v>1</v>
      </c>
      <c r="E2493" s="2" t="str">
        <f>"2170756688"</f>
        <v>2170756688</v>
      </c>
      <c r="F2493" s="2" t="s">
        <v>17</v>
      </c>
      <c r="G2493" s="2" t="s">
        <v>18</v>
      </c>
      <c r="H2493" s="2" t="s">
        <v>19</v>
      </c>
      <c r="I2493" s="2" t="s">
        <v>111</v>
      </c>
      <c r="J2493" s="2" t="s">
        <v>369</v>
      </c>
      <c r="K2493" s="2" t="s">
        <v>1762</v>
      </c>
      <c r="L2493" s="3">
        <v>0.4375</v>
      </c>
      <c r="M2493" s="2" t="s">
        <v>370</v>
      </c>
      <c r="N2493" s="2" t="s">
        <v>500</v>
      </c>
      <c r="O2493" s="2"/>
    </row>
    <row r="2494" spans="1:15" x14ac:dyDescent="0.25">
      <c r="A2494" s="2" t="s">
        <v>15</v>
      </c>
      <c r="B2494" s="2" t="str">
        <f>"FES1162770841"</f>
        <v>FES1162770841</v>
      </c>
      <c r="C2494" s="2" t="s">
        <v>1513</v>
      </c>
      <c r="D2494" s="2">
        <v>1</v>
      </c>
      <c r="E2494" s="2" t="str">
        <f>"2170757705"</f>
        <v>2170757705</v>
      </c>
      <c r="F2494" s="2" t="s">
        <v>17</v>
      </c>
      <c r="G2494" s="2" t="s">
        <v>18</v>
      </c>
      <c r="H2494" s="2" t="s">
        <v>25</v>
      </c>
      <c r="I2494" s="2" t="s">
        <v>361</v>
      </c>
      <c r="J2494" s="2" t="s">
        <v>1400</v>
      </c>
      <c r="K2494" s="2" t="s">
        <v>1762</v>
      </c>
      <c r="L2494" s="3">
        <v>0.41666666666666669</v>
      </c>
      <c r="M2494" s="2" t="s">
        <v>1849</v>
      </c>
      <c r="N2494" s="2" t="s">
        <v>500</v>
      </c>
      <c r="O2494" s="2"/>
    </row>
    <row r="2495" spans="1:15" x14ac:dyDescent="0.25">
      <c r="A2495" s="2" t="s">
        <v>15</v>
      </c>
      <c r="B2495" s="2" t="str">
        <f>"FES1162770671"</f>
        <v>FES1162770671</v>
      </c>
      <c r="C2495" s="2" t="s">
        <v>1513</v>
      </c>
      <c r="D2495" s="2">
        <v>1</v>
      </c>
      <c r="E2495" s="2" t="str">
        <f>"2170757925"</f>
        <v>2170757925</v>
      </c>
      <c r="F2495" s="2" t="s">
        <v>17</v>
      </c>
      <c r="G2495" s="2" t="s">
        <v>18</v>
      </c>
      <c r="H2495" s="2" t="s">
        <v>18</v>
      </c>
      <c r="I2495" s="2" t="s">
        <v>63</v>
      </c>
      <c r="J2495" s="2" t="s">
        <v>1795</v>
      </c>
      <c r="K2495" s="2" t="s">
        <v>1762</v>
      </c>
      <c r="L2495" s="3">
        <v>0.375</v>
      </c>
      <c r="M2495" s="2" t="s">
        <v>1857</v>
      </c>
      <c r="N2495" s="2" t="s">
        <v>500</v>
      </c>
      <c r="O2495" s="2"/>
    </row>
    <row r="2496" spans="1:15" x14ac:dyDescent="0.25">
      <c r="A2496" s="2" t="s">
        <v>15</v>
      </c>
      <c r="B2496" s="2" t="str">
        <f>"FES1162770694"</f>
        <v>FES1162770694</v>
      </c>
      <c r="C2496" s="2" t="s">
        <v>1513</v>
      </c>
      <c r="D2496" s="2">
        <v>1</v>
      </c>
      <c r="E2496" s="2" t="str">
        <f>"2170757933"</f>
        <v>2170757933</v>
      </c>
      <c r="F2496" s="2" t="s">
        <v>17</v>
      </c>
      <c r="G2496" s="2" t="s">
        <v>18</v>
      </c>
      <c r="H2496" s="2" t="s">
        <v>18</v>
      </c>
      <c r="I2496" s="2" t="s">
        <v>478</v>
      </c>
      <c r="J2496" s="2" t="s">
        <v>1796</v>
      </c>
      <c r="K2496" s="2" t="s">
        <v>1762</v>
      </c>
      <c r="L2496" s="3">
        <v>0.35069444444444442</v>
      </c>
      <c r="M2496" s="2" t="s">
        <v>1858</v>
      </c>
      <c r="N2496" s="2" t="s">
        <v>500</v>
      </c>
      <c r="O2496" s="2"/>
    </row>
    <row r="2497" spans="1:15" x14ac:dyDescent="0.25">
      <c r="A2497" s="2" t="s">
        <v>15</v>
      </c>
      <c r="B2497" s="2" t="str">
        <f>"FES1162770743"</f>
        <v>FES1162770743</v>
      </c>
      <c r="C2497" s="2" t="s">
        <v>1513</v>
      </c>
      <c r="D2497" s="2">
        <v>1</v>
      </c>
      <c r="E2497" s="2" t="str">
        <f>"2170756161"</f>
        <v>2170756161</v>
      </c>
      <c r="F2497" s="2" t="s">
        <v>17</v>
      </c>
      <c r="G2497" s="2" t="s">
        <v>18</v>
      </c>
      <c r="H2497" s="2" t="s">
        <v>18</v>
      </c>
      <c r="I2497" s="2" t="s">
        <v>46</v>
      </c>
      <c r="J2497" s="2" t="s">
        <v>59</v>
      </c>
      <c r="K2497" s="2" t="s">
        <v>1762</v>
      </c>
      <c r="L2497" s="3">
        <v>0.4375</v>
      </c>
      <c r="M2497" s="2" t="s">
        <v>1590</v>
      </c>
      <c r="N2497" s="2" t="s">
        <v>500</v>
      </c>
      <c r="O2497" s="2"/>
    </row>
    <row r="2498" spans="1:15" x14ac:dyDescent="0.25">
      <c r="A2498" s="2" t="s">
        <v>15</v>
      </c>
      <c r="B2498" s="2" t="str">
        <f>"FES1162770688"</f>
        <v>FES1162770688</v>
      </c>
      <c r="C2498" s="2" t="s">
        <v>1513</v>
      </c>
      <c r="D2498" s="2">
        <v>1</v>
      </c>
      <c r="E2498" s="2" t="str">
        <f>"2170757948"</f>
        <v>2170757948</v>
      </c>
      <c r="F2498" s="2" t="s">
        <v>17</v>
      </c>
      <c r="G2498" s="2" t="s">
        <v>18</v>
      </c>
      <c r="H2498" s="2" t="s">
        <v>18</v>
      </c>
      <c r="I2498" s="2" t="s">
        <v>50</v>
      </c>
      <c r="J2498" s="2" t="s">
        <v>665</v>
      </c>
      <c r="K2498" s="2" t="s">
        <v>1762</v>
      </c>
      <c r="L2498" s="3">
        <v>0.44097222222222227</v>
      </c>
      <c r="M2498" s="2" t="s">
        <v>1859</v>
      </c>
      <c r="N2498" s="2" t="s">
        <v>500</v>
      </c>
      <c r="O2498" s="2"/>
    </row>
    <row r="2499" spans="1:15" x14ac:dyDescent="0.25">
      <c r="A2499" s="2" t="s">
        <v>15</v>
      </c>
      <c r="B2499" s="2" t="str">
        <f>"FES1162770756"</f>
        <v>FES1162770756</v>
      </c>
      <c r="C2499" s="2" t="s">
        <v>1513</v>
      </c>
      <c r="D2499" s="2">
        <v>1</v>
      </c>
      <c r="E2499" s="2" t="str">
        <f>"2170757795"</f>
        <v>2170757795</v>
      </c>
      <c r="F2499" s="2" t="s">
        <v>17</v>
      </c>
      <c r="G2499" s="2" t="s">
        <v>18</v>
      </c>
      <c r="H2499" s="2" t="s">
        <v>18</v>
      </c>
      <c r="I2499" s="2" t="s">
        <v>46</v>
      </c>
      <c r="J2499" s="2" t="s">
        <v>670</v>
      </c>
      <c r="K2499" s="2" t="s">
        <v>1762</v>
      </c>
      <c r="L2499" s="3">
        <v>0.32013888888888892</v>
      </c>
      <c r="M2499" s="2" t="s">
        <v>1860</v>
      </c>
      <c r="N2499" s="2" t="s">
        <v>500</v>
      </c>
      <c r="O2499" s="2"/>
    </row>
    <row r="2500" spans="1:15" x14ac:dyDescent="0.25">
      <c r="A2500" s="2" t="s">
        <v>15</v>
      </c>
      <c r="B2500" s="2" t="str">
        <f>"FES1162770851"</f>
        <v>FES1162770851</v>
      </c>
      <c r="C2500" s="2" t="s">
        <v>1513</v>
      </c>
      <c r="D2500" s="2">
        <v>1</v>
      </c>
      <c r="E2500" s="2" t="str">
        <f>"2170755841"</f>
        <v>2170755841</v>
      </c>
      <c r="F2500" s="2" t="s">
        <v>17</v>
      </c>
      <c r="G2500" s="2" t="s">
        <v>18</v>
      </c>
      <c r="H2500" s="2" t="s">
        <v>18</v>
      </c>
      <c r="I2500" s="2" t="s">
        <v>46</v>
      </c>
      <c r="J2500" s="2" t="s">
        <v>453</v>
      </c>
      <c r="K2500" s="2" t="s">
        <v>1762</v>
      </c>
      <c r="L2500" s="3">
        <v>0.4375</v>
      </c>
      <c r="M2500" s="2" t="s">
        <v>559</v>
      </c>
      <c r="N2500" s="2" t="s">
        <v>500</v>
      </c>
      <c r="O2500" s="2"/>
    </row>
    <row r="2501" spans="1:15" x14ac:dyDescent="0.25">
      <c r="A2501" s="2" t="s">
        <v>15</v>
      </c>
      <c r="B2501" s="2" t="str">
        <f>"FES1162770648"</f>
        <v>FES1162770648</v>
      </c>
      <c r="C2501" s="2" t="s">
        <v>1513</v>
      </c>
      <c r="D2501" s="2">
        <v>1</v>
      </c>
      <c r="E2501" s="2" t="str">
        <f>"2170757332"</f>
        <v>2170757332</v>
      </c>
      <c r="F2501" s="2" t="s">
        <v>17</v>
      </c>
      <c r="G2501" s="2" t="s">
        <v>18</v>
      </c>
      <c r="H2501" s="2" t="s">
        <v>18</v>
      </c>
      <c r="I2501" s="2" t="s">
        <v>46</v>
      </c>
      <c r="J2501" s="2" t="s">
        <v>1304</v>
      </c>
      <c r="K2501" s="2" t="s">
        <v>1762</v>
      </c>
      <c r="L2501" s="3">
        <v>0.30208333333333331</v>
      </c>
      <c r="M2501" s="2" t="s">
        <v>1856</v>
      </c>
      <c r="N2501" s="2" t="s">
        <v>500</v>
      </c>
      <c r="O2501" s="2"/>
    </row>
    <row r="2502" spans="1:15" x14ac:dyDescent="0.25">
      <c r="A2502" s="2" t="s">
        <v>15</v>
      </c>
      <c r="B2502" s="2" t="str">
        <f>"FES1162770896"</f>
        <v>FES1162770896</v>
      </c>
      <c r="C2502" s="2" t="s">
        <v>1513</v>
      </c>
      <c r="D2502" s="2">
        <v>1</v>
      </c>
      <c r="E2502" s="2" t="str">
        <f>"2170751426"</f>
        <v>2170751426</v>
      </c>
      <c r="F2502" s="2" t="s">
        <v>17</v>
      </c>
      <c r="G2502" s="2" t="s">
        <v>18</v>
      </c>
      <c r="H2502" s="2" t="s">
        <v>36</v>
      </c>
      <c r="I2502" s="2" t="s">
        <v>37</v>
      </c>
      <c r="J2502" s="2" t="s">
        <v>162</v>
      </c>
      <c r="K2502" s="2" t="s">
        <v>1762</v>
      </c>
      <c r="L2502" s="3">
        <v>0.36319444444444443</v>
      </c>
      <c r="M2502" s="2" t="s">
        <v>1066</v>
      </c>
      <c r="N2502" s="2" t="s">
        <v>500</v>
      </c>
      <c r="O2502" s="2"/>
    </row>
    <row r="2503" spans="1:15" x14ac:dyDescent="0.25">
      <c r="A2503" s="2" t="s">
        <v>15</v>
      </c>
      <c r="B2503" s="2" t="str">
        <f>"FES1162770828"</f>
        <v>FES1162770828</v>
      </c>
      <c r="C2503" s="2" t="s">
        <v>1513</v>
      </c>
      <c r="D2503" s="2">
        <v>1</v>
      </c>
      <c r="E2503" s="2" t="str">
        <f>"2170756726"</f>
        <v>2170756726</v>
      </c>
      <c r="F2503" s="2" t="s">
        <v>17</v>
      </c>
      <c r="G2503" s="2" t="s">
        <v>18</v>
      </c>
      <c r="H2503" s="2" t="s">
        <v>36</v>
      </c>
      <c r="I2503" s="2" t="s">
        <v>37</v>
      </c>
      <c r="J2503" s="2" t="s">
        <v>476</v>
      </c>
      <c r="K2503" s="2" t="s">
        <v>1762</v>
      </c>
      <c r="L2503" s="3">
        <v>0.41319444444444442</v>
      </c>
      <c r="M2503" s="2" t="s">
        <v>1861</v>
      </c>
      <c r="N2503" s="2" t="s">
        <v>500</v>
      </c>
      <c r="O2503" s="2"/>
    </row>
    <row r="2504" spans="1:15" x14ac:dyDescent="0.25">
      <c r="A2504" s="2" t="s">
        <v>15</v>
      </c>
      <c r="B2504" s="2" t="str">
        <f>"FES1162770818"</f>
        <v>FES1162770818</v>
      </c>
      <c r="C2504" s="2" t="s">
        <v>1513</v>
      </c>
      <c r="D2504" s="2">
        <v>1</v>
      </c>
      <c r="E2504" s="2" t="str">
        <f>"2170756618"</f>
        <v>2170756618</v>
      </c>
      <c r="F2504" s="2" t="s">
        <v>17</v>
      </c>
      <c r="G2504" s="2" t="s">
        <v>18</v>
      </c>
      <c r="H2504" s="2" t="s">
        <v>19</v>
      </c>
      <c r="I2504" s="2" t="s">
        <v>73</v>
      </c>
      <c r="J2504" s="2" t="s">
        <v>76</v>
      </c>
      <c r="K2504" s="2" t="s">
        <v>1762</v>
      </c>
      <c r="L2504" s="3">
        <v>0.4375</v>
      </c>
      <c r="M2504" s="2" t="s">
        <v>1848</v>
      </c>
      <c r="N2504" s="2" t="s">
        <v>500</v>
      </c>
      <c r="O2504" s="2"/>
    </row>
    <row r="2505" spans="1:15" x14ac:dyDescent="0.25">
      <c r="A2505" s="2" t="s">
        <v>15</v>
      </c>
      <c r="B2505" s="2" t="str">
        <f>"FES1162770777"</f>
        <v>FES1162770777</v>
      </c>
      <c r="C2505" s="2" t="s">
        <v>1513</v>
      </c>
      <c r="D2505" s="2">
        <v>1</v>
      </c>
      <c r="E2505" s="2" t="str">
        <f>"2170753867"</f>
        <v>2170753867</v>
      </c>
      <c r="F2505" s="2" t="s">
        <v>17</v>
      </c>
      <c r="G2505" s="2" t="s">
        <v>18</v>
      </c>
      <c r="H2505" s="2" t="s">
        <v>19</v>
      </c>
      <c r="I2505" s="2" t="s">
        <v>73</v>
      </c>
      <c r="J2505" s="2" t="s">
        <v>76</v>
      </c>
      <c r="K2505" s="2" t="s">
        <v>1762</v>
      </c>
      <c r="L2505" s="3">
        <v>0.4375</v>
      </c>
      <c r="M2505" s="2" t="s">
        <v>1848</v>
      </c>
      <c r="N2505" s="2" t="s">
        <v>500</v>
      </c>
      <c r="O2505" s="2"/>
    </row>
    <row r="2506" spans="1:15" x14ac:dyDescent="0.25">
      <c r="A2506" s="2" t="s">
        <v>15</v>
      </c>
      <c r="B2506" s="2" t="str">
        <f>"FES1162770778"</f>
        <v>FES1162770778</v>
      </c>
      <c r="C2506" s="2" t="s">
        <v>1513</v>
      </c>
      <c r="D2506" s="2">
        <v>1</v>
      </c>
      <c r="E2506" s="2" t="str">
        <f>"2170753868"</f>
        <v>2170753868</v>
      </c>
      <c r="F2506" s="2" t="s">
        <v>17</v>
      </c>
      <c r="G2506" s="2" t="s">
        <v>18</v>
      </c>
      <c r="H2506" s="2" t="s">
        <v>19</v>
      </c>
      <c r="I2506" s="2" t="s">
        <v>73</v>
      </c>
      <c r="J2506" s="2" t="s">
        <v>76</v>
      </c>
      <c r="K2506" s="2" t="s">
        <v>1762</v>
      </c>
      <c r="L2506" s="3">
        <v>0.4375</v>
      </c>
      <c r="M2506" s="2" t="s">
        <v>1848</v>
      </c>
      <c r="N2506" s="2" t="s">
        <v>500</v>
      </c>
      <c r="O2506" s="2"/>
    </row>
    <row r="2507" spans="1:15" x14ac:dyDescent="0.25">
      <c r="A2507" s="2" t="s">
        <v>15</v>
      </c>
      <c r="B2507" s="2" t="str">
        <f>"FES1162770800"</f>
        <v>FES1162770800</v>
      </c>
      <c r="C2507" s="2" t="s">
        <v>1513</v>
      </c>
      <c r="D2507" s="2">
        <v>1</v>
      </c>
      <c r="E2507" s="2" t="str">
        <f>"2170756387"</f>
        <v>2170756387</v>
      </c>
      <c r="F2507" s="2" t="s">
        <v>17</v>
      </c>
      <c r="G2507" s="2" t="s">
        <v>18</v>
      </c>
      <c r="H2507" s="2" t="s">
        <v>19</v>
      </c>
      <c r="I2507" s="2" t="s">
        <v>20</v>
      </c>
      <c r="J2507" s="2" t="s">
        <v>1124</v>
      </c>
      <c r="K2507" s="2" t="s">
        <v>1762</v>
      </c>
      <c r="L2507" s="3">
        <v>0.4375</v>
      </c>
      <c r="M2507" s="2" t="s">
        <v>1862</v>
      </c>
      <c r="N2507" s="2" t="s">
        <v>500</v>
      </c>
      <c r="O2507" s="2"/>
    </row>
    <row r="2508" spans="1:15" x14ac:dyDescent="0.25">
      <c r="A2508" s="2" t="s">
        <v>15</v>
      </c>
      <c r="B2508" s="2" t="str">
        <f>"FES1162770783"</f>
        <v>FES1162770783</v>
      </c>
      <c r="C2508" s="2" t="s">
        <v>1513</v>
      </c>
      <c r="D2508" s="2">
        <v>1</v>
      </c>
      <c r="E2508" s="2" t="str">
        <f>"2170754465"</f>
        <v>2170754465</v>
      </c>
      <c r="F2508" s="2" t="s">
        <v>17</v>
      </c>
      <c r="G2508" s="2" t="s">
        <v>18</v>
      </c>
      <c r="H2508" s="2" t="s">
        <v>19</v>
      </c>
      <c r="I2508" s="2" t="s">
        <v>73</v>
      </c>
      <c r="J2508" s="2" t="s">
        <v>76</v>
      </c>
      <c r="K2508" s="2" t="s">
        <v>1762</v>
      </c>
      <c r="L2508" s="3">
        <v>0.4375</v>
      </c>
      <c r="M2508" s="2" t="s">
        <v>1848</v>
      </c>
      <c r="N2508" s="2" t="s">
        <v>500</v>
      </c>
      <c r="O2508" s="2"/>
    </row>
    <row r="2509" spans="1:15" x14ac:dyDescent="0.25">
      <c r="A2509" s="2" t="s">
        <v>15</v>
      </c>
      <c r="B2509" s="2" t="str">
        <f>"FES1162770715"</f>
        <v>FES1162770715</v>
      </c>
      <c r="C2509" s="2" t="s">
        <v>1513</v>
      </c>
      <c r="D2509" s="2">
        <v>1</v>
      </c>
      <c r="E2509" s="2" t="str">
        <f>"2170755925"</f>
        <v>2170755925</v>
      </c>
      <c r="F2509" s="2" t="s">
        <v>17</v>
      </c>
      <c r="G2509" s="2" t="s">
        <v>18</v>
      </c>
      <c r="H2509" s="2" t="s">
        <v>1433</v>
      </c>
      <c r="I2509" s="2" t="s">
        <v>1434</v>
      </c>
      <c r="J2509" s="2" t="s">
        <v>1435</v>
      </c>
      <c r="K2509" s="2" t="s">
        <v>1762</v>
      </c>
      <c r="L2509" s="3">
        <v>0.43055555555555558</v>
      </c>
      <c r="M2509" s="2" t="s">
        <v>1963</v>
      </c>
      <c r="N2509" s="2" t="s">
        <v>500</v>
      </c>
      <c r="O2509" s="2"/>
    </row>
    <row r="2510" spans="1:15" x14ac:dyDescent="0.25">
      <c r="A2510" s="2" t="s">
        <v>15</v>
      </c>
      <c r="B2510" s="2" t="str">
        <f>"FES1162770787"</f>
        <v>FES1162770787</v>
      </c>
      <c r="C2510" s="2" t="s">
        <v>1513</v>
      </c>
      <c r="D2510" s="2">
        <v>1</v>
      </c>
      <c r="E2510" s="2" t="str">
        <f>"210755305"</f>
        <v>210755305</v>
      </c>
      <c r="F2510" s="2" t="s">
        <v>17</v>
      </c>
      <c r="G2510" s="2" t="s">
        <v>18</v>
      </c>
      <c r="H2510" s="2" t="s">
        <v>88</v>
      </c>
      <c r="I2510" s="2" t="s">
        <v>109</v>
      </c>
      <c r="J2510" s="2" t="s">
        <v>141</v>
      </c>
      <c r="K2510" s="2" t="s">
        <v>1762</v>
      </c>
      <c r="L2510" s="3">
        <v>0.38680555555555557</v>
      </c>
      <c r="M2510" s="2" t="s">
        <v>1863</v>
      </c>
      <c r="N2510" s="2" t="s">
        <v>500</v>
      </c>
      <c r="O2510" s="2"/>
    </row>
    <row r="2511" spans="1:15" x14ac:dyDescent="0.25">
      <c r="A2511" s="2" t="s">
        <v>15</v>
      </c>
      <c r="B2511" s="2" t="str">
        <f>"FES1162770810"</f>
        <v>FES1162770810</v>
      </c>
      <c r="C2511" s="2" t="s">
        <v>1513</v>
      </c>
      <c r="D2511" s="2">
        <v>1</v>
      </c>
      <c r="E2511" s="2" t="str">
        <f>"2170756514"</f>
        <v>2170756514</v>
      </c>
      <c r="F2511" s="2" t="s">
        <v>17</v>
      </c>
      <c r="G2511" s="2" t="s">
        <v>18</v>
      </c>
      <c r="H2511" s="2" t="s">
        <v>18</v>
      </c>
      <c r="I2511" s="2" t="s">
        <v>63</v>
      </c>
      <c r="J2511" s="2" t="s">
        <v>884</v>
      </c>
      <c r="K2511" s="2" t="s">
        <v>1762</v>
      </c>
      <c r="L2511" s="3">
        <v>0.43124999999999997</v>
      </c>
      <c r="M2511" s="2" t="s">
        <v>955</v>
      </c>
      <c r="N2511" s="2" t="s">
        <v>500</v>
      </c>
      <c r="O2511" s="2"/>
    </row>
    <row r="2512" spans="1:15" x14ac:dyDescent="0.25">
      <c r="A2512" s="2" t="s">
        <v>15</v>
      </c>
      <c r="B2512" s="2" t="str">
        <f>"FES1162770711"</f>
        <v>FES1162770711</v>
      </c>
      <c r="C2512" s="2" t="s">
        <v>1513</v>
      </c>
      <c r="D2512" s="2">
        <v>1</v>
      </c>
      <c r="E2512" s="2" t="str">
        <f>"2170755881"</f>
        <v>2170755881</v>
      </c>
      <c r="F2512" s="2" t="s">
        <v>17</v>
      </c>
      <c r="G2512" s="2" t="s">
        <v>18</v>
      </c>
      <c r="H2512" s="2" t="s">
        <v>18</v>
      </c>
      <c r="I2512" s="2" t="s">
        <v>329</v>
      </c>
      <c r="J2512" s="2" t="s">
        <v>457</v>
      </c>
      <c r="K2512" s="2" t="s">
        <v>1762</v>
      </c>
      <c r="L2512" s="3">
        <v>0.43055555555555558</v>
      </c>
      <c r="M2512" s="2" t="s">
        <v>1864</v>
      </c>
      <c r="N2512" s="2" t="s">
        <v>500</v>
      </c>
      <c r="O2512" s="2"/>
    </row>
    <row r="2513" spans="1:15" x14ac:dyDescent="0.25">
      <c r="A2513" s="2" t="s">
        <v>15</v>
      </c>
      <c r="B2513" s="2" t="str">
        <f>"FES1162770670"</f>
        <v>FES1162770670</v>
      </c>
      <c r="C2513" s="2" t="s">
        <v>1513</v>
      </c>
      <c r="D2513" s="2">
        <v>1</v>
      </c>
      <c r="E2513" s="2" t="str">
        <f>"2170757922"</f>
        <v>2170757922</v>
      </c>
      <c r="F2513" s="2" t="s">
        <v>17</v>
      </c>
      <c r="G2513" s="2" t="s">
        <v>18</v>
      </c>
      <c r="H2513" s="2" t="s">
        <v>25</v>
      </c>
      <c r="I2513" s="2" t="s">
        <v>26</v>
      </c>
      <c r="J2513" s="2" t="s">
        <v>75</v>
      </c>
      <c r="K2513" s="2" t="s">
        <v>1762</v>
      </c>
      <c r="L2513" s="3">
        <v>0.41666666666666669</v>
      </c>
      <c r="M2513" s="2" t="s">
        <v>1865</v>
      </c>
      <c r="N2513" s="2" t="s">
        <v>500</v>
      </c>
      <c r="O2513" s="2"/>
    </row>
    <row r="2514" spans="1:15" x14ac:dyDescent="0.25">
      <c r="A2514" s="2" t="s">
        <v>15</v>
      </c>
      <c r="B2514" s="2" t="str">
        <f>"FES1162770652"</f>
        <v>FES1162770652</v>
      </c>
      <c r="C2514" s="2" t="s">
        <v>1513</v>
      </c>
      <c r="D2514" s="2">
        <v>1</v>
      </c>
      <c r="E2514" s="2" t="str">
        <f>"2170757539"</f>
        <v>2170757539</v>
      </c>
      <c r="F2514" s="2" t="s">
        <v>17</v>
      </c>
      <c r="G2514" s="2" t="s">
        <v>18</v>
      </c>
      <c r="H2514" s="2" t="s">
        <v>25</v>
      </c>
      <c r="I2514" s="2" t="s">
        <v>26</v>
      </c>
      <c r="J2514" s="2" t="s">
        <v>127</v>
      </c>
      <c r="K2514" s="2" t="s">
        <v>1762</v>
      </c>
      <c r="L2514" s="3">
        <v>0.3923611111111111</v>
      </c>
      <c r="M2514" s="2" t="s">
        <v>1866</v>
      </c>
      <c r="N2514" s="2" t="s">
        <v>500</v>
      </c>
      <c r="O2514" s="2"/>
    </row>
    <row r="2515" spans="1:15" x14ac:dyDescent="0.25">
      <c r="A2515" s="2" t="s">
        <v>15</v>
      </c>
      <c r="B2515" s="2" t="str">
        <f>"FES1162770628"</f>
        <v>FES1162770628</v>
      </c>
      <c r="C2515" s="2" t="s">
        <v>1513</v>
      </c>
      <c r="D2515" s="2">
        <v>1</v>
      </c>
      <c r="E2515" s="2" t="str">
        <f>"2170756378"</f>
        <v>2170756378</v>
      </c>
      <c r="F2515" s="2" t="s">
        <v>17</v>
      </c>
      <c r="G2515" s="2" t="s">
        <v>18</v>
      </c>
      <c r="H2515" s="2" t="s">
        <v>25</v>
      </c>
      <c r="I2515" s="2" t="s">
        <v>26</v>
      </c>
      <c r="J2515" s="2" t="s">
        <v>27</v>
      </c>
      <c r="K2515" s="2" t="s">
        <v>1762</v>
      </c>
      <c r="L2515" s="3">
        <v>0.41666666666666669</v>
      </c>
      <c r="M2515" s="2" t="s">
        <v>521</v>
      </c>
      <c r="N2515" s="2" t="s">
        <v>500</v>
      </c>
      <c r="O2515" s="2"/>
    </row>
    <row r="2516" spans="1:15" x14ac:dyDescent="0.25">
      <c r="A2516" s="2" t="s">
        <v>15</v>
      </c>
      <c r="B2516" s="2" t="str">
        <f>"FES1162770632"</f>
        <v>FES1162770632</v>
      </c>
      <c r="C2516" s="2" t="s">
        <v>1513</v>
      </c>
      <c r="D2516" s="2">
        <v>1</v>
      </c>
      <c r="E2516" s="2" t="str">
        <f>"2170756596"</f>
        <v>2170756596</v>
      </c>
      <c r="F2516" s="2" t="s">
        <v>17</v>
      </c>
      <c r="G2516" s="2" t="s">
        <v>18</v>
      </c>
      <c r="H2516" s="2" t="s">
        <v>18</v>
      </c>
      <c r="I2516" s="2" t="s">
        <v>57</v>
      </c>
      <c r="J2516" s="2" t="s">
        <v>91</v>
      </c>
      <c r="K2516" s="2" t="s">
        <v>1762</v>
      </c>
      <c r="L2516" s="3">
        <v>0.28541666666666665</v>
      </c>
      <c r="M2516" s="2" t="s">
        <v>209</v>
      </c>
      <c r="N2516" s="2" t="s">
        <v>500</v>
      </c>
      <c r="O2516" s="2"/>
    </row>
    <row r="2517" spans="1:15" x14ac:dyDescent="0.25">
      <c r="A2517" s="2" t="s">
        <v>15</v>
      </c>
      <c r="B2517" s="2" t="str">
        <f>"FES1162770757"</f>
        <v>FES1162770757</v>
      </c>
      <c r="C2517" s="2" t="s">
        <v>1513</v>
      </c>
      <c r="D2517" s="2">
        <v>1</v>
      </c>
      <c r="E2517" s="2" t="str">
        <f>"2170757914"</f>
        <v>2170757914</v>
      </c>
      <c r="F2517" s="2" t="s">
        <v>17</v>
      </c>
      <c r="G2517" s="2" t="s">
        <v>18</v>
      </c>
      <c r="H2517" s="2" t="s">
        <v>30</v>
      </c>
      <c r="I2517" s="2" t="s">
        <v>444</v>
      </c>
      <c r="J2517" s="2" t="s">
        <v>1797</v>
      </c>
      <c r="K2517" s="2" t="s">
        <v>1969</v>
      </c>
      <c r="L2517" s="3">
        <v>0.41666666666666669</v>
      </c>
      <c r="M2517" s="2" t="s">
        <v>2073</v>
      </c>
      <c r="N2517" s="2" t="s">
        <v>500</v>
      </c>
      <c r="O2517" s="2"/>
    </row>
    <row r="2518" spans="1:15" x14ac:dyDescent="0.25">
      <c r="A2518" s="2" t="s">
        <v>15</v>
      </c>
      <c r="B2518" s="2" t="str">
        <f>"FES1162770727"</f>
        <v>FES1162770727</v>
      </c>
      <c r="C2518" s="2" t="s">
        <v>1513</v>
      </c>
      <c r="D2518" s="2">
        <v>1</v>
      </c>
      <c r="E2518" s="2" t="str">
        <f>"2170756015"</f>
        <v>2170756015</v>
      </c>
      <c r="F2518" s="2" t="s">
        <v>17</v>
      </c>
      <c r="G2518" s="2" t="s">
        <v>18</v>
      </c>
      <c r="H2518" s="2" t="s">
        <v>18</v>
      </c>
      <c r="I2518" s="2" t="s">
        <v>57</v>
      </c>
      <c r="J2518" s="2" t="s">
        <v>888</v>
      </c>
      <c r="K2518" s="2" t="s">
        <v>1762</v>
      </c>
      <c r="L2518" s="3">
        <v>0.27152777777777776</v>
      </c>
      <c r="M2518" s="2" t="s">
        <v>350</v>
      </c>
      <c r="N2518" s="2" t="s">
        <v>500</v>
      </c>
      <c r="O2518" s="2"/>
    </row>
    <row r="2519" spans="1:15" x14ac:dyDescent="0.25">
      <c r="A2519" s="2" t="s">
        <v>15</v>
      </c>
      <c r="B2519" s="2" t="str">
        <f>"FES1162770821"</f>
        <v>FES1162770821</v>
      </c>
      <c r="C2519" s="2" t="s">
        <v>1513</v>
      </c>
      <c r="D2519" s="2">
        <v>1</v>
      </c>
      <c r="E2519" s="2" t="str">
        <f>"2170756643"</f>
        <v>2170756643</v>
      </c>
      <c r="F2519" s="2" t="s">
        <v>17</v>
      </c>
      <c r="G2519" s="2" t="s">
        <v>18</v>
      </c>
      <c r="H2519" s="2" t="s">
        <v>18</v>
      </c>
      <c r="I2519" s="2" t="s">
        <v>65</v>
      </c>
      <c r="J2519" s="2" t="s">
        <v>66</v>
      </c>
      <c r="K2519" s="2" t="s">
        <v>1762</v>
      </c>
      <c r="L2519" s="3">
        <v>0.33611111111111108</v>
      </c>
      <c r="M2519" s="2" t="s">
        <v>1867</v>
      </c>
      <c r="N2519" s="2" t="s">
        <v>500</v>
      </c>
      <c r="O2519" s="2"/>
    </row>
    <row r="2520" spans="1:15" x14ac:dyDescent="0.25">
      <c r="A2520" s="2" t="s">
        <v>15</v>
      </c>
      <c r="B2520" s="2" t="str">
        <f>"FES1162770647"</f>
        <v>FES1162770647</v>
      </c>
      <c r="C2520" s="2" t="s">
        <v>1513</v>
      </c>
      <c r="D2520" s="2">
        <v>1</v>
      </c>
      <c r="E2520" s="2" t="str">
        <f>"2170757327"</f>
        <v>2170757327</v>
      </c>
      <c r="F2520" s="2" t="s">
        <v>17</v>
      </c>
      <c r="G2520" s="2" t="s">
        <v>18</v>
      </c>
      <c r="H2520" s="2" t="s">
        <v>25</v>
      </c>
      <c r="I2520" s="2" t="s">
        <v>26</v>
      </c>
      <c r="J2520" s="2" t="s">
        <v>27</v>
      </c>
      <c r="K2520" s="2" t="s">
        <v>1762</v>
      </c>
      <c r="L2520" s="3">
        <v>0.41666666666666669</v>
      </c>
      <c r="M2520" s="2" t="s">
        <v>521</v>
      </c>
      <c r="N2520" s="2" t="s">
        <v>500</v>
      </c>
      <c r="O2520" s="2"/>
    </row>
    <row r="2521" spans="1:15" x14ac:dyDescent="0.25">
      <c r="A2521" s="2" t="s">
        <v>15</v>
      </c>
      <c r="B2521" s="2" t="str">
        <f>"FES1162770621"</f>
        <v>FES1162770621</v>
      </c>
      <c r="C2521" s="2" t="s">
        <v>1513</v>
      </c>
      <c r="D2521" s="2">
        <v>1</v>
      </c>
      <c r="E2521" s="2" t="str">
        <f>"2170755496"</f>
        <v>2170755496</v>
      </c>
      <c r="F2521" s="2" t="s">
        <v>17</v>
      </c>
      <c r="G2521" s="2" t="s">
        <v>18</v>
      </c>
      <c r="H2521" s="2" t="s">
        <v>25</v>
      </c>
      <c r="I2521" s="2" t="s">
        <v>26</v>
      </c>
      <c r="J2521" s="2" t="s">
        <v>1143</v>
      </c>
      <c r="K2521" s="2" t="s">
        <v>1762</v>
      </c>
      <c r="L2521" s="3">
        <v>0.41666666666666669</v>
      </c>
      <c r="M2521" s="2" t="s">
        <v>1868</v>
      </c>
      <c r="N2521" s="2" t="s">
        <v>500</v>
      </c>
      <c r="O2521" s="2"/>
    </row>
    <row r="2522" spans="1:15" x14ac:dyDescent="0.25">
      <c r="A2522" s="2" t="s">
        <v>15</v>
      </c>
      <c r="B2522" s="2" t="str">
        <f>"FES1162770706"</f>
        <v>FES1162770706</v>
      </c>
      <c r="C2522" s="2" t="s">
        <v>1513</v>
      </c>
      <c r="D2522" s="2">
        <v>1</v>
      </c>
      <c r="E2522" s="2" t="str">
        <f>"2170755800"</f>
        <v>2170755800</v>
      </c>
      <c r="F2522" s="2" t="s">
        <v>17</v>
      </c>
      <c r="G2522" s="2" t="s">
        <v>18</v>
      </c>
      <c r="H2522" s="2" t="s">
        <v>25</v>
      </c>
      <c r="I2522" s="2" t="s">
        <v>39</v>
      </c>
      <c r="J2522" s="2" t="s">
        <v>1798</v>
      </c>
      <c r="K2522" s="2" t="s">
        <v>1762</v>
      </c>
      <c r="L2522" s="3">
        <v>0.41666666666666669</v>
      </c>
      <c r="M2522" s="2" t="s">
        <v>1964</v>
      </c>
      <c r="N2522" s="2" t="s">
        <v>500</v>
      </c>
      <c r="O2522" s="2"/>
    </row>
    <row r="2523" spans="1:15" x14ac:dyDescent="0.25">
      <c r="A2523" s="2" t="s">
        <v>15</v>
      </c>
      <c r="B2523" s="2" t="str">
        <f>"FES1162770665"</f>
        <v>FES1162770665</v>
      </c>
      <c r="C2523" s="2" t="s">
        <v>1513</v>
      </c>
      <c r="D2523" s="2">
        <v>1</v>
      </c>
      <c r="E2523" s="2" t="str">
        <f>"2170757908"</f>
        <v>2170757908</v>
      </c>
      <c r="F2523" s="2" t="s">
        <v>17</v>
      </c>
      <c r="G2523" s="2" t="s">
        <v>18</v>
      </c>
      <c r="H2523" s="2" t="s">
        <v>25</v>
      </c>
      <c r="I2523" s="2" t="s">
        <v>26</v>
      </c>
      <c r="J2523" s="2" t="s">
        <v>474</v>
      </c>
      <c r="K2523" s="2" t="s">
        <v>1762</v>
      </c>
      <c r="L2523" s="3">
        <v>0.41666666666666669</v>
      </c>
      <c r="M2523" s="2" t="s">
        <v>1168</v>
      </c>
      <c r="N2523" s="2" t="s">
        <v>500</v>
      </c>
      <c r="O2523" s="2"/>
    </row>
    <row r="2524" spans="1:15" x14ac:dyDescent="0.25">
      <c r="A2524" s="2" t="s">
        <v>15</v>
      </c>
      <c r="B2524" s="2" t="str">
        <f>"FES1162770638"</f>
        <v>FES1162770638</v>
      </c>
      <c r="C2524" s="2" t="s">
        <v>1513</v>
      </c>
      <c r="D2524" s="2">
        <v>1</v>
      </c>
      <c r="E2524" s="2" t="str">
        <f>"2170756762"</f>
        <v>2170756762</v>
      </c>
      <c r="F2524" s="2" t="s">
        <v>17</v>
      </c>
      <c r="G2524" s="2" t="s">
        <v>18</v>
      </c>
      <c r="H2524" s="2" t="s">
        <v>25</v>
      </c>
      <c r="I2524" s="2" t="s">
        <v>1445</v>
      </c>
      <c r="J2524" s="2" t="s">
        <v>1750</v>
      </c>
      <c r="K2524" s="2" t="s">
        <v>1762</v>
      </c>
      <c r="L2524" s="3">
        <v>0.41666666666666669</v>
      </c>
      <c r="M2524" s="2" t="s">
        <v>1869</v>
      </c>
      <c r="N2524" s="2" t="s">
        <v>500</v>
      </c>
      <c r="O2524" s="2"/>
    </row>
    <row r="2525" spans="1:15" x14ac:dyDescent="0.25">
      <c r="A2525" s="2" t="s">
        <v>15</v>
      </c>
      <c r="B2525" s="2" t="str">
        <f>"FES1162770667"</f>
        <v>FES1162770667</v>
      </c>
      <c r="C2525" s="2" t="s">
        <v>1513</v>
      </c>
      <c r="D2525" s="2">
        <v>1</v>
      </c>
      <c r="E2525" s="2" t="str">
        <f>"2170757912"</f>
        <v>2170757912</v>
      </c>
      <c r="F2525" s="2" t="s">
        <v>17</v>
      </c>
      <c r="G2525" s="2" t="s">
        <v>18</v>
      </c>
      <c r="H2525" s="2" t="s">
        <v>25</v>
      </c>
      <c r="I2525" s="2" t="s">
        <v>345</v>
      </c>
      <c r="J2525" s="2" t="s">
        <v>346</v>
      </c>
      <c r="K2525" s="2" t="s">
        <v>1897</v>
      </c>
      <c r="L2525" s="3">
        <v>0.55833333333333335</v>
      </c>
      <c r="M2525" s="2" t="s">
        <v>1962</v>
      </c>
      <c r="N2525" s="2" t="s">
        <v>500</v>
      </c>
      <c r="O2525" s="2"/>
    </row>
    <row r="2526" spans="1:15" x14ac:dyDescent="0.25">
      <c r="A2526" s="2" t="s">
        <v>15</v>
      </c>
      <c r="B2526" s="2" t="str">
        <f>"FES1162770833"</f>
        <v>FES1162770833</v>
      </c>
      <c r="C2526" s="2" t="s">
        <v>1513</v>
      </c>
      <c r="D2526" s="2">
        <v>1</v>
      </c>
      <c r="E2526" s="2" t="str">
        <f>"2170756871"</f>
        <v>2170756871</v>
      </c>
      <c r="F2526" s="2" t="s">
        <v>17</v>
      </c>
      <c r="G2526" s="2" t="s">
        <v>18</v>
      </c>
      <c r="H2526" s="2" t="s">
        <v>36</v>
      </c>
      <c r="I2526" s="2" t="s">
        <v>37</v>
      </c>
      <c r="J2526" s="2" t="s">
        <v>272</v>
      </c>
      <c r="K2526" s="2" t="s">
        <v>1762</v>
      </c>
      <c r="L2526" s="3">
        <v>0.3923611111111111</v>
      </c>
      <c r="M2526" s="2" t="s">
        <v>1870</v>
      </c>
      <c r="N2526" s="2" t="s">
        <v>500</v>
      </c>
      <c r="O2526" s="2"/>
    </row>
    <row r="2527" spans="1:15" x14ac:dyDescent="0.25">
      <c r="A2527" s="2" t="s">
        <v>15</v>
      </c>
      <c r="B2527" s="2" t="str">
        <f>"FES1162770793"</f>
        <v>FES1162770793</v>
      </c>
      <c r="C2527" s="2" t="s">
        <v>1513</v>
      </c>
      <c r="D2527" s="2">
        <v>1</v>
      </c>
      <c r="E2527" s="2" t="str">
        <f>"2170755790"</f>
        <v>2170755790</v>
      </c>
      <c r="F2527" s="2" t="s">
        <v>17</v>
      </c>
      <c r="G2527" s="2" t="s">
        <v>18</v>
      </c>
      <c r="H2527" s="2" t="s">
        <v>36</v>
      </c>
      <c r="I2527" s="2" t="s">
        <v>134</v>
      </c>
      <c r="J2527" s="2" t="s">
        <v>66</v>
      </c>
      <c r="K2527" s="2" t="s">
        <v>1762</v>
      </c>
      <c r="L2527" s="3">
        <v>0.5</v>
      </c>
      <c r="M2527" s="2" t="s">
        <v>1871</v>
      </c>
      <c r="N2527" s="2" t="s">
        <v>500</v>
      </c>
      <c r="O2527" s="2"/>
    </row>
    <row r="2528" spans="1:15" x14ac:dyDescent="0.25">
      <c r="A2528" s="2" t="s">
        <v>15</v>
      </c>
      <c r="B2528" s="2" t="str">
        <f>"FES1162770747"</f>
        <v>FES1162770747</v>
      </c>
      <c r="C2528" s="2" t="s">
        <v>1513</v>
      </c>
      <c r="D2528" s="2">
        <v>1</v>
      </c>
      <c r="E2528" s="2" t="str">
        <f>"2170756636"</f>
        <v>2170756636</v>
      </c>
      <c r="F2528" s="2" t="s">
        <v>17</v>
      </c>
      <c r="G2528" s="2" t="s">
        <v>18</v>
      </c>
      <c r="H2528" s="2" t="s">
        <v>36</v>
      </c>
      <c r="I2528" s="2" t="s">
        <v>37</v>
      </c>
      <c r="J2528" s="2" t="s">
        <v>102</v>
      </c>
      <c r="K2528" s="2" t="s">
        <v>1762</v>
      </c>
      <c r="L2528" s="3">
        <v>0.39861111111111108</v>
      </c>
      <c r="M2528" s="2" t="s">
        <v>1872</v>
      </c>
      <c r="N2528" s="2" t="s">
        <v>500</v>
      </c>
      <c r="O2528" s="2"/>
    </row>
    <row r="2529" spans="1:15" x14ac:dyDescent="0.25">
      <c r="A2529" s="2" t="s">
        <v>15</v>
      </c>
      <c r="B2529" s="2" t="str">
        <f>"FES1162770744"</f>
        <v>FES1162770744</v>
      </c>
      <c r="C2529" s="2" t="s">
        <v>1513</v>
      </c>
      <c r="D2529" s="2">
        <v>1</v>
      </c>
      <c r="E2529" s="2" t="str">
        <f>"2170756196"</f>
        <v>2170756196</v>
      </c>
      <c r="F2529" s="2" t="s">
        <v>17</v>
      </c>
      <c r="G2529" s="2" t="s">
        <v>18</v>
      </c>
      <c r="H2529" s="2" t="s">
        <v>36</v>
      </c>
      <c r="I2529" s="2" t="s">
        <v>37</v>
      </c>
      <c r="J2529" s="2" t="s">
        <v>55</v>
      </c>
      <c r="K2529" s="2" t="s">
        <v>1762</v>
      </c>
      <c r="L2529" s="3">
        <v>0.3611111111111111</v>
      </c>
      <c r="M2529" s="2" t="s">
        <v>1683</v>
      </c>
      <c r="N2529" s="2" t="s">
        <v>500</v>
      </c>
      <c r="O2529" s="2"/>
    </row>
    <row r="2530" spans="1:15" x14ac:dyDescent="0.25">
      <c r="A2530" s="2" t="s">
        <v>15</v>
      </c>
      <c r="B2530" s="2" t="str">
        <f>"FES1162770797"</f>
        <v>FES1162770797</v>
      </c>
      <c r="C2530" s="2" t="s">
        <v>1513</v>
      </c>
      <c r="D2530" s="2">
        <v>1</v>
      </c>
      <c r="E2530" s="2" t="str">
        <f>"2170756045"</f>
        <v>2170756045</v>
      </c>
      <c r="F2530" s="2" t="s">
        <v>17</v>
      </c>
      <c r="G2530" s="2" t="s">
        <v>18</v>
      </c>
      <c r="H2530" s="2" t="s">
        <v>36</v>
      </c>
      <c r="I2530" s="2" t="s">
        <v>37</v>
      </c>
      <c r="J2530" s="2" t="s">
        <v>55</v>
      </c>
      <c r="K2530" s="2" t="s">
        <v>1762</v>
      </c>
      <c r="L2530" s="3">
        <v>0.34722222222222227</v>
      </c>
      <c r="M2530" s="2" t="s">
        <v>1683</v>
      </c>
      <c r="N2530" s="2" t="s">
        <v>500</v>
      </c>
      <c r="O2530" s="2"/>
    </row>
    <row r="2531" spans="1:15" x14ac:dyDescent="0.25">
      <c r="A2531" s="2" t="s">
        <v>15</v>
      </c>
      <c r="B2531" s="2" t="str">
        <f>"FES1162770811"</f>
        <v>FES1162770811</v>
      </c>
      <c r="C2531" s="2" t="s">
        <v>1513</v>
      </c>
      <c r="D2531" s="2">
        <v>1</v>
      </c>
      <c r="E2531" s="2" t="str">
        <f>"2170756515"</f>
        <v>2170756515</v>
      </c>
      <c r="F2531" s="2" t="s">
        <v>17</v>
      </c>
      <c r="G2531" s="2" t="s">
        <v>18</v>
      </c>
      <c r="H2531" s="2" t="s">
        <v>33</v>
      </c>
      <c r="I2531" s="2" t="s">
        <v>34</v>
      </c>
      <c r="J2531" s="2" t="s">
        <v>1792</v>
      </c>
      <c r="K2531" s="2" t="s">
        <v>1762</v>
      </c>
      <c r="L2531" s="3">
        <v>0.43333333333333335</v>
      </c>
      <c r="M2531" s="2" t="s">
        <v>1846</v>
      </c>
      <c r="N2531" s="2" t="s">
        <v>500</v>
      </c>
      <c r="O2531" s="2"/>
    </row>
    <row r="2532" spans="1:15" x14ac:dyDescent="0.25">
      <c r="A2532" s="2" t="s">
        <v>15</v>
      </c>
      <c r="B2532" s="2" t="str">
        <f>"FES1162770823"</f>
        <v>FES1162770823</v>
      </c>
      <c r="C2532" s="2" t="s">
        <v>1513</v>
      </c>
      <c r="D2532" s="2">
        <v>1</v>
      </c>
      <c r="E2532" s="2" t="str">
        <f>"2170756660"</f>
        <v>2170756660</v>
      </c>
      <c r="F2532" s="2" t="s">
        <v>17</v>
      </c>
      <c r="G2532" s="2" t="s">
        <v>18</v>
      </c>
      <c r="H2532" s="2" t="s">
        <v>18</v>
      </c>
      <c r="I2532" s="2" t="s">
        <v>57</v>
      </c>
      <c r="J2532" s="2" t="s">
        <v>1686</v>
      </c>
      <c r="K2532" s="2" t="s">
        <v>1762</v>
      </c>
      <c r="L2532" s="3">
        <v>0.4375</v>
      </c>
      <c r="M2532" s="2" t="s">
        <v>559</v>
      </c>
      <c r="N2532" s="2" t="s">
        <v>500</v>
      </c>
      <c r="O2532" s="2"/>
    </row>
    <row r="2533" spans="1:15" x14ac:dyDescent="0.25">
      <c r="A2533" s="2" t="s">
        <v>15</v>
      </c>
      <c r="B2533" s="2" t="str">
        <f>"FES1162770691"</f>
        <v>FES1162770691</v>
      </c>
      <c r="C2533" s="2" t="s">
        <v>1513</v>
      </c>
      <c r="D2533" s="2">
        <v>1</v>
      </c>
      <c r="E2533" s="2" t="str">
        <f>"2170757953"</f>
        <v>2170757953</v>
      </c>
      <c r="F2533" s="2" t="s">
        <v>17</v>
      </c>
      <c r="G2533" s="2" t="s">
        <v>18</v>
      </c>
      <c r="H2533" s="2" t="s">
        <v>33</v>
      </c>
      <c r="I2533" s="2" t="s">
        <v>34</v>
      </c>
      <c r="J2533" s="2" t="s">
        <v>868</v>
      </c>
      <c r="K2533" s="2" t="s">
        <v>1762</v>
      </c>
      <c r="L2533" s="3">
        <v>0.43333333333333335</v>
      </c>
      <c r="M2533" s="2" t="s">
        <v>861</v>
      </c>
      <c r="N2533" s="2" t="s">
        <v>500</v>
      </c>
      <c r="O2533" s="2"/>
    </row>
    <row r="2534" spans="1:15" x14ac:dyDescent="0.25">
      <c r="A2534" s="2" t="s">
        <v>15</v>
      </c>
      <c r="B2534" s="2" t="str">
        <f>"FES1162770832"</f>
        <v>FES1162770832</v>
      </c>
      <c r="C2534" s="2" t="s">
        <v>1513</v>
      </c>
      <c r="D2534" s="2">
        <v>1</v>
      </c>
      <c r="E2534" s="2" t="str">
        <f>"2170756774"</f>
        <v>2170756774</v>
      </c>
      <c r="F2534" s="2" t="s">
        <v>17</v>
      </c>
      <c r="G2534" s="2" t="s">
        <v>18</v>
      </c>
      <c r="H2534" s="2" t="s">
        <v>18</v>
      </c>
      <c r="I2534" s="2" t="s">
        <v>290</v>
      </c>
      <c r="J2534" s="2" t="s">
        <v>492</v>
      </c>
      <c r="K2534" s="2" t="s">
        <v>1762</v>
      </c>
      <c r="L2534" s="3">
        <v>0.4375</v>
      </c>
      <c r="M2534" s="2" t="s">
        <v>1873</v>
      </c>
      <c r="N2534" s="2" t="s">
        <v>500</v>
      </c>
      <c r="O2534" s="2"/>
    </row>
    <row r="2535" spans="1:15" x14ac:dyDescent="0.25">
      <c r="A2535" s="2" t="s">
        <v>15</v>
      </c>
      <c r="B2535" s="2" t="str">
        <f>"FES1162770784"</f>
        <v>FES1162770784</v>
      </c>
      <c r="C2535" s="2" t="s">
        <v>1513</v>
      </c>
      <c r="D2535" s="2">
        <v>1</v>
      </c>
      <c r="E2535" s="2" t="str">
        <f>"2170754575"</f>
        <v>2170754575</v>
      </c>
      <c r="F2535" s="2" t="s">
        <v>17</v>
      </c>
      <c r="G2535" s="2" t="s">
        <v>18</v>
      </c>
      <c r="H2535" s="2" t="s">
        <v>25</v>
      </c>
      <c r="I2535" s="2" t="s">
        <v>26</v>
      </c>
      <c r="J2535" s="2" t="s">
        <v>44</v>
      </c>
      <c r="K2535" s="2" t="s">
        <v>1762</v>
      </c>
      <c r="L2535" s="3">
        <v>0.3888888888888889</v>
      </c>
      <c r="M2535" s="2" t="s">
        <v>181</v>
      </c>
      <c r="N2535" s="2" t="s">
        <v>500</v>
      </c>
      <c r="O2535" s="2"/>
    </row>
    <row r="2536" spans="1:15" x14ac:dyDescent="0.25">
      <c r="A2536" s="2" t="s">
        <v>15</v>
      </c>
      <c r="B2536" s="2" t="str">
        <f>"FES1162770627"</f>
        <v>FES1162770627</v>
      </c>
      <c r="C2536" s="2" t="s">
        <v>1513</v>
      </c>
      <c r="D2536" s="2">
        <v>1</v>
      </c>
      <c r="E2536" s="2" t="str">
        <f>"2170756282"</f>
        <v>2170756282</v>
      </c>
      <c r="F2536" s="2" t="s">
        <v>17</v>
      </c>
      <c r="G2536" s="2" t="s">
        <v>18</v>
      </c>
      <c r="H2536" s="2" t="s">
        <v>19</v>
      </c>
      <c r="I2536" s="2" t="s">
        <v>20</v>
      </c>
      <c r="J2536" s="2" t="s">
        <v>21</v>
      </c>
      <c r="K2536" s="2" t="s">
        <v>1762</v>
      </c>
      <c r="L2536" s="3">
        <v>0.4375</v>
      </c>
      <c r="M2536" s="2" t="s">
        <v>1733</v>
      </c>
      <c r="N2536" s="2" t="s">
        <v>500</v>
      </c>
      <c r="O2536" s="2"/>
    </row>
    <row r="2537" spans="1:15" x14ac:dyDescent="0.25">
      <c r="A2537" s="2" t="s">
        <v>15</v>
      </c>
      <c r="B2537" s="2" t="str">
        <f>"FES1162770699"</f>
        <v>FES1162770699</v>
      </c>
      <c r="C2537" s="2" t="s">
        <v>1513</v>
      </c>
      <c r="D2537" s="2">
        <v>1</v>
      </c>
      <c r="E2537" s="2" t="str">
        <f>"2170757963"</f>
        <v>2170757963</v>
      </c>
      <c r="F2537" s="2" t="s">
        <v>17</v>
      </c>
      <c r="G2537" s="2" t="s">
        <v>18</v>
      </c>
      <c r="H2537" s="2" t="s">
        <v>30</v>
      </c>
      <c r="I2537" s="2" t="s">
        <v>147</v>
      </c>
      <c r="J2537" s="2" t="s">
        <v>148</v>
      </c>
      <c r="K2537" s="2" t="s">
        <v>1762</v>
      </c>
      <c r="L2537" s="3">
        <v>0.4284722222222222</v>
      </c>
      <c r="M2537" s="2" t="s">
        <v>1375</v>
      </c>
      <c r="N2537" s="2" t="s">
        <v>500</v>
      </c>
      <c r="O2537" s="2"/>
    </row>
    <row r="2538" spans="1:15" x14ac:dyDescent="0.25">
      <c r="A2538" s="2" t="s">
        <v>15</v>
      </c>
      <c r="B2538" s="2" t="str">
        <f>"FES1162770864"</f>
        <v>FES1162770864</v>
      </c>
      <c r="C2538" s="2" t="s">
        <v>1513</v>
      </c>
      <c r="D2538" s="2">
        <v>1</v>
      </c>
      <c r="E2538" s="2" t="str">
        <f>"2170756501"</f>
        <v>2170756501</v>
      </c>
      <c r="F2538" s="2" t="s">
        <v>17</v>
      </c>
      <c r="G2538" s="2" t="s">
        <v>18</v>
      </c>
      <c r="H2538" s="2" t="s">
        <v>25</v>
      </c>
      <c r="I2538" s="2" t="s">
        <v>26</v>
      </c>
      <c r="J2538" s="2" t="s">
        <v>1020</v>
      </c>
      <c r="K2538" s="2" t="s">
        <v>1762</v>
      </c>
      <c r="L2538" s="3">
        <v>0.41666666666666669</v>
      </c>
      <c r="M2538" s="2" t="s">
        <v>1874</v>
      </c>
      <c r="N2538" s="2" t="s">
        <v>500</v>
      </c>
      <c r="O2538" s="2"/>
    </row>
    <row r="2539" spans="1:15" x14ac:dyDescent="0.25">
      <c r="A2539" s="2" t="s">
        <v>15</v>
      </c>
      <c r="B2539" s="2" t="str">
        <f>"FES1162770803"</f>
        <v>FES1162770803</v>
      </c>
      <c r="C2539" s="2" t="s">
        <v>1513</v>
      </c>
      <c r="D2539" s="2">
        <v>1</v>
      </c>
      <c r="E2539" s="2" t="str">
        <f>"2170756434"</f>
        <v>2170756434</v>
      </c>
      <c r="F2539" s="2" t="s">
        <v>17</v>
      </c>
      <c r="G2539" s="2" t="s">
        <v>18</v>
      </c>
      <c r="H2539" s="2" t="s">
        <v>18</v>
      </c>
      <c r="I2539" s="2" t="s">
        <v>46</v>
      </c>
      <c r="J2539" s="2" t="s">
        <v>139</v>
      </c>
      <c r="K2539" s="2" t="s">
        <v>1762</v>
      </c>
      <c r="L2539" s="3">
        <v>0.36458333333333331</v>
      </c>
      <c r="M2539" s="2" t="s">
        <v>1776</v>
      </c>
      <c r="N2539" s="2" t="s">
        <v>500</v>
      </c>
      <c r="O2539" s="2"/>
    </row>
    <row r="2540" spans="1:15" x14ac:dyDescent="0.25">
      <c r="A2540" s="2" t="s">
        <v>15</v>
      </c>
      <c r="B2540" s="2" t="str">
        <f>"FES1162770682"</f>
        <v>FES1162770682</v>
      </c>
      <c r="C2540" s="2" t="s">
        <v>1513</v>
      </c>
      <c r="D2540" s="2">
        <v>1</v>
      </c>
      <c r="E2540" s="2" t="str">
        <f>"2170757946"</f>
        <v>2170757946</v>
      </c>
      <c r="F2540" s="2" t="s">
        <v>17</v>
      </c>
      <c r="G2540" s="2" t="s">
        <v>18</v>
      </c>
      <c r="H2540" s="2" t="s">
        <v>18</v>
      </c>
      <c r="I2540" s="2" t="s">
        <v>116</v>
      </c>
      <c r="J2540" s="2" t="s">
        <v>493</v>
      </c>
      <c r="K2540" s="2" t="s">
        <v>1762</v>
      </c>
      <c r="L2540" s="3">
        <v>0.38958333333333334</v>
      </c>
      <c r="M2540" s="2" t="s">
        <v>1875</v>
      </c>
      <c r="N2540" s="2" t="s">
        <v>500</v>
      </c>
      <c r="O2540" s="2"/>
    </row>
    <row r="2541" spans="1:15" x14ac:dyDescent="0.25">
      <c r="A2541" s="2" t="s">
        <v>15</v>
      </c>
      <c r="B2541" s="2" t="str">
        <f>"FES1162770643"</f>
        <v>FES1162770643</v>
      </c>
      <c r="C2541" s="2" t="s">
        <v>1513</v>
      </c>
      <c r="D2541" s="2">
        <v>1</v>
      </c>
      <c r="E2541" s="2" t="str">
        <f>"2170757070"</f>
        <v>2170757070</v>
      </c>
      <c r="F2541" s="2" t="s">
        <v>17</v>
      </c>
      <c r="G2541" s="2" t="s">
        <v>18</v>
      </c>
      <c r="H2541" s="2" t="s">
        <v>33</v>
      </c>
      <c r="I2541" s="2" t="s">
        <v>34</v>
      </c>
      <c r="J2541" s="2" t="s">
        <v>317</v>
      </c>
      <c r="K2541" s="2" t="s">
        <v>1762</v>
      </c>
      <c r="L2541" s="3">
        <v>0.43333333333333335</v>
      </c>
      <c r="M2541" s="2" t="s">
        <v>1876</v>
      </c>
      <c r="N2541" s="2" t="s">
        <v>500</v>
      </c>
      <c r="O2541" s="2"/>
    </row>
    <row r="2542" spans="1:15" x14ac:dyDescent="0.25">
      <c r="A2542" s="2" t="s">
        <v>15</v>
      </c>
      <c r="B2542" s="2" t="str">
        <f>"FES1162770649"</f>
        <v>FES1162770649</v>
      </c>
      <c r="C2542" s="2" t="s">
        <v>1513</v>
      </c>
      <c r="D2542" s="2">
        <v>1</v>
      </c>
      <c r="E2542" s="2" t="str">
        <f>"2170757445"</f>
        <v>2170757445</v>
      </c>
      <c r="F2542" s="2" t="s">
        <v>17</v>
      </c>
      <c r="G2542" s="2" t="s">
        <v>18</v>
      </c>
      <c r="H2542" s="2" t="s">
        <v>78</v>
      </c>
      <c r="I2542" s="2" t="s">
        <v>79</v>
      </c>
      <c r="J2542" s="2" t="s">
        <v>630</v>
      </c>
      <c r="K2542" s="2" t="s">
        <v>1762</v>
      </c>
      <c r="L2542" s="3">
        <v>0.55208333333333337</v>
      </c>
      <c r="M2542" s="2" t="s">
        <v>1877</v>
      </c>
      <c r="N2542" s="2" t="s">
        <v>500</v>
      </c>
      <c r="O2542" s="2"/>
    </row>
    <row r="2543" spans="1:15" x14ac:dyDescent="0.25">
      <c r="A2543" s="2" t="s">
        <v>15</v>
      </c>
      <c r="B2543" s="2" t="str">
        <f>"FES1162770782"</f>
        <v>FES1162770782</v>
      </c>
      <c r="C2543" s="2" t="s">
        <v>1513</v>
      </c>
      <c r="D2543" s="2">
        <v>1</v>
      </c>
      <c r="E2543" s="2" t="str">
        <f>"2170754459"</f>
        <v>2170754459</v>
      </c>
      <c r="F2543" s="2" t="s">
        <v>17</v>
      </c>
      <c r="G2543" s="2" t="s">
        <v>18</v>
      </c>
      <c r="H2543" s="2" t="s">
        <v>25</v>
      </c>
      <c r="I2543" s="2" t="s">
        <v>26</v>
      </c>
      <c r="J2543" s="2" t="s">
        <v>94</v>
      </c>
      <c r="K2543" s="2" t="s">
        <v>1762</v>
      </c>
      <c r="L2543" s="3">
        <v>0.41666666666666669</v>
      </c>
      <c r="M2543" s="2" t="s">
        <v>1878</v>
      </c>
      <c r="N2543" s="2" t="s">
        <v>500</v>
      </c>
      <c r="O2543" s="2"/>
    </row>
    <row r="2544" spans="1:15" x14ac:dyDescent="0.25">
      <c r="A2544" s="2" t="s">
        <v>15</v>
      </c>
      <c r="B2544" s="2" t="str">
        <f>"FES1162770751"</f>
        <v>FES1162770751</v>
      </c>
      <c r="C2544" s="2" t="s">
        <v>1513</v>
      </c>
      <c r="D2544" s="2">
        <v>1</v>
      </c>
      <c r="E2544" s="2" t="str">
        <f>"2170757005"</f>
        <v>2170757005</v>
      </c>
      <c r="F2544" s="2" t="s">
        <v>17</v>
      </c>
      <c r="G2544" s="2" t="s">
        <v>18</v>
      </c>
      <c r="H2544" s="2" t="s">
        <v>25</v>
      </c>
      <c r="I2544" s="2" t="s">
        <v>26</v>
      </c>
      <c r="J2544" s="2" t="s">
        <v>1799</v>
      </c>
      <c r="K2544" s="2" t="s">
        <v>1762</v>
      </c>
      <c r="L2544" s="3">
        <v>0.41666666666666669</v>
      </c>
      <c r="M2544" s="2" t="s">
        <v>1879</v>
      </c>
      <c r="N2544" s="2" t="s">
        <v>500</v>
      </c>
      <c r="O2544" s="2"/>
    </row>
    <row r="2545" spans="1:15" x14ac:dyDescent="0.25">
      <c r="A2545" s="2" t="s">
        <v>15</v>
      </c>
      <c r="B2545" s="2" t="str">
        <f>"FES1162770894"</f>
        <v>FES1162770894</v>
      </c>
      <c r="C2545" s="2" t="s">
        <v>1513</v>
      </c>
      <c r="D2545" s="2">
        <v>1</v>
      </c>
      <c r="E2545" s="2" t="str">
        <f>"2170756585"</f>
        <v>2170756585</v>
      </c>
      <c r="F2545" s="2" t="s">
        <v>17</v>
      </c>
      <c r="G2545" s="2" t="s">
        <v>18</v>
      </c>
      <c r="H2545" s="2" t="s">
        <v>36</v>
      </c>
      <c r="I2545" s="2" t="s">
        <v>37</v>
      </c>
      <c r="J2545" s="2" t="s">
        <v>38</v>
      </c>
      <c r="K2545" s="2" t="s">
        <v>1762</v>
      </c>
      <c r="L2545" s="3">
        <v>0.40277777777777773</v>
      </c>
      <c r="M2545" s="2" t="s">
        <v>1880</v>
      </c>
      <c r="N2545" s="2" t="s">
        <v>500</v>
      </c>
      <c r="O2545" s="2"/>
    </row>
    <row r="2546" spans="1:15" x14ac:dyDescent="0.25">
      <c r="A2546" s="2" t="s">
        <v>15</v>
      </c>
      <c r="B2546" s="2" t="str">
        <f>"FES1162770804"</f>
        <v>FES1162770804</v>
      </c>
      <c r="C2546" s="2" t="s">
        <v>1513</v>
      </c>
      <c r="D2546" s="2">
        <v>2</v>
      </c>
      <c r="E2546" s="2" t="str">
        <f>"2170756441"</f>
        <v>2170756441</v>
      </c>
      <c r="F2546" s="2" t="s">
        <v>17</v>
      </c>
      <c r="G2546" s="2" t="s">
        <v>18</v>
      </c>
      <c r="H2546" s="2" t="s">
        <v>18</v>
      </c>
      <c r="I2546" s="2" t="s">
        <v>157</v>
      </c>
      <c r="J2546" s="2" t="s">
        <v>347</v>
      </c>
      <c r="K2546" s="2" t="s">
        <v>1762</v>
      </c>
      <c r="L2546" s="3">
        <v>0.42708333333333331</v>
      </c>
      <c r="M2546" s="2" t="s">
        <v>1881</v>
      </c>
      <c r="N2546" s="2" t="s">
        <v>500</v>
      </c>
      <c r="O2546" s="2"/>
    </row>
    <row r="2547" spans="1:15" x14ac:dyDescent="0.25">
      <c r="A2547" s="2" t="s">
        <v>15</v>
      </c>
      <c r="B2547" s="2" t="str">
        <f>"FES1162770750"</f>
        <v>FES1162770750</v>
      </c>
      <c r="C2547" s="2" t="s">
        <v>1513</v>
      </c>
      <c r="D2547" s="2">
        <v>1</v>
      </c>
      <c r="E2547" s="2" t="str">
        <f>"2170756921"</f>
        <v>2170756921</v>
      </c>
      <c r="F2547" s="2" t="s">
        <v>17</v>
      </c>
      <c r="G2547" s="2" t="s">
        <v>18</v>
      </c>
      <c r="H2547" s="2" t="s">
        <v>18</v>
      </c>
      <c r="I2547" s="2" t="s">
        <v>290</v>
      </c>
      <c r="J2547" s="2" t="s">
        <v>420</v>
      </c>
      <c r="K2547" s="2" t="s">
        <v>1762</v>
      </c>
      <c r="L2547" s="3">
        <v>0.4375</v>
      </c>
      <c r="M2547" s="2" t="s">
        <v>751</v>
      </c>
      <c r="N2547" s="2" t="s">
        <v>500</v>
      </c>
      <c r="O2547" s="2"/>
    </row>
    <row r="2548" spans="1:15" x14ac:dyDescent="0.25">
      <c r="A2548" s="2" t="s">
        <v>15</v>
      </c>
      <c r="B2548" s="2" t="str">
        <f>"FES1162770692"</f>
        <v>FES1162770692</v>
      </c>
      <c r="C2548" s="2" t="s">
        <v>1513</v>
      </c>
      <c r="D2548" s="2">
        <v>1</v>
      </c>
      <c r="E2548" s="2" t="str">
        <f>"2170757954"</f>
        <v>2170757954</v>
      </c>
      <c r="F2548" s="2" t="s">
        <v>17</v>
      </c>
      <c r="G2548" s="2" t="s">
        <v>18</v>
      </c>
      <c r="H2548" s="2" t="s">
        <v>19</v>
      </c>
      <c r="I2548" s="2" t="s">
        <v>20</v>
      </c>
      <c r="J2548" s="2" t="s">
        <v>327</v>
      </c>
      <c r="K2548" s="2" t="s">
        <v>1762</v>
      </c>
      <c r="L2548" s="3">
        <v>0.4375</v>
      </c>
      <c r="M2548" s="2" t="s">
        <v>1882</v>
      </c>
      <c r="N2548" s="2" t="s">
        <v>500</v>
      </c>
      <c r="O2548" s="2"/>
    </row>
    <row r="2549" spans="1:15" x14ac:dyDescent="0.25">
      <c r="A2549" s="2" t="s">
        <v>15</v>
      </c>
      <c r="B2549" s="2" t="str">
        <f>"FES1162770635"</f>
        <v>FES1162770635</v>
      </c>
      <c r="C2549" s="2" t="s">
        <v>1513</v>
      </c>
      <c r="D2549" s="2">
        <v>1</v>
      </c>
      <c r="E2549" s="2" t="str">
        <f>"2170756688"</f>
        <v>2170756688</v>
      </c>
      <c r="F2549" s="2" t="s">
        <v>17</v>
      </c>
      <c r="G2549" s="2" t="s">
        <v>18</v>
      </c>
      <c r="H2549" s="2" t="s">
        <v>19</v>
      </c>
      <c r="I2549" s="2" t="s">
        <v>111</v>
      </c>
      <c r="J2549" s="2" t="s">
        <v>369</v>
      </c>
      <c r="K2549" s="2" t="s">
        <v>1762</v>
      </c>
      <c r="L2549" s="3">
        <v>0.4375</v>
      </c>
      <c r="M2549" s="2" t="s">
        <v>370</v>
      </c>
      <c r="N2549" s="2" t="s">
        <v>500</v>
      </c>
      <c r="O2549" s="2"/>
    </row>
    <row r="2550" spans="1:15" x14ac:dyDescent="0.25">
      <c r="A2550" s="2" t="s">
        <v>15</v>
      </c>
      <c r="B2550" s="2" t="str">
        <f>"FES1162770735"</f>
        <v>FES1162770735</v>
      </c>
      <c r="C2550" s="2" t="s">
        <v>1513</v>
      </c>
      <c r="D2550" s="2">
        <v>1</v>
      </c>
      <c r="E2550" s="2" t="str">
        <f>"2170756082"</f>
        <v>2170756082</v>
      </c>
      <c r="F2550" s="2" t="s">
        <v>17</v>
      </c>
      <c r="G2550" s="2" t="s">
        <v>18</v>
      </c>
      <c r="H2550" s="2" t="s">
        <v>33</v>
      </c>
      <c r="I2550" s="2" t="s">
        <v>34</v>
      </c>
      <c r="J2550" s="2" t="s">
        <v>400</v>
      </c>
      <c r="K2550" s="2" t="s">
        <v>1762</v>
      </c>
      <c r="L2550" s="3">
        <v>0.43333333333333335</v>
      </c>
      <c r="M2550" s="2" t="s">
        <v>706</v>
      </c>
      <c r="N2550" s="2" t="s">
        <v>500</v>
      </c>
      <c r="O2550" s="2"/>
    </row>
    <row r="2551" spans="1:15" x14ac:dyDescent="0.25">
      <c r="A2551" s="2" t="s">
        <v>15</v>
      </c>
      <c r="B2551" s="2" t="str">
        <f>"FES1162770772"</f>
        <v>FES1162770772</v>
      </c>
      <c r="C2551" s="2" t="s">
        <v>1513</v>
      </c>
      <c r="D2551" s="2">
        <v>1</v>
      </c>
      <c r="E2551" s="2" t="str">
        <f>"2170750308"</f>
        <v>2170750308</v>
      </c>
      <c r="F2551" s="2" t="s">
        <v>17</v>
      </c>
      <c r="G2551" s="2" t="s">
        <v>18</v>
      </c>
      <c r="H2551" s="2" t="s">
        <v>18</v>
      </c>
      <c r="I2551" s="2" t="s">
        <v>65</v>
      </c>
      <c r="J2551" s="2" t="s">
        <v>791</v>
      </c>
      <c r="K2551" s="2" t="s">
        <v>1762</v>
      </c>
      <c r="L2551" s="3">
        <v>0.30972222222222223</v>
      </c>
      <c r="M2551" s="2" t="s">
        <v>1883</v>
      </c>
      <c r="N2551" s="2" t="s">
        <v>500</v>
      </c>
      <c r="O2551" s="2"/>
    </row>
    <row r="2552" spans="1:15" x14ac:dyDescent="0.25">
      <c r="A2552" s="2" t="s">
        <v>15</v>
      </c>
      <c r="B2552" s="2" t="str">
        <f>"FES1162770893"</f>
        <v>FES1162770893</v>
      </c>
      <c r="C2552" s="2" t="s">
        <v>1513</v>
      </c>
      <c r="D2552" s="2">
        <v>1</v>
      </c>
      <c r="E2552" s="2" t="str">
        <f>"2170757656"</f>
        <v>2170757656</v>
      </c>
      <c r="F2552" s="2" t="s">
        <v>17</v>
      </c>
      <c r="G2552" s="2" t="s">
        <v>18</v>
      </c>
      <c r="H2552" s="2" t="s">
        <v>36</v>
      </c>
      <c r="I2552" s="2" t="s">
        <v>37</v>
      </c>
      <c r="J2552" s="2" t="s">
        <v>376</v>
      </c>
      <c r="K2552" s="2" t="s">
        <v>1762</v>
      </c>
      <c r="L2552" s="3">
        <v>0.41666666666666669</v>
      </c>
      <c r="M2552" s="2" t="s">
        <v>1884</v>
      </c>
      <c r="N2552" s="2" t="s">
        <v>500</v>
      </c>
      <c r="O2552" s="2"/>
    </row>
    <row r="2553" spans="1:15" x14ac:dyDescent="0.25">
      <c r="A2553" s="2" t="s">
        <v>15</v>
      </c>
      <c r="B2553" s="2" t="str">
        <f>"FES1162770642"</f>
        <v>FES1162770642</v>
      </c>
      <c r="C2553" s="2" t="s">
        <v>1513</v>
      </c>
      <c r="D2553" s="2">
        <v>1</v>
      </c>
      <c r="E2553" s="2" t="str">
        <f>"2170756961"</f>
        <v>2170756961</v>
      </c>
      <c r="F2553" s="2" t="s">
        <v>17</v>
      </c>
      <c r="G2553" s="2" t="s">
        <v>18</v>
      </c>
      <c r="H2553" s="2" t="s">
        <v>33</v>
      </c>
      <c r="I2553" s="2" t="s">
        <v>34</v>
      </c>
      <c r="J2553" s="2" t="s">
        <v>400</v>
      </c>
      <c r="K2553" s="2" t="s">
        <v>1762</v>
      </c>
      <c r="L2553" s="3">
        <v>0.43333333333333335</v>
      </c>
      <c r="M2553" s="2" t="s">
        <v>706</v>
      </c>
      <c r="N2553" s="2" t="s">
        <v>500</v>
      </c>
      <c r="O2553" s="2"/>
    </row>
    <row r="2554" spans="1:15" x14ac:dyDescent="0.25">
      <c r="A2554" s="2" t="s">
        <v>15</v>
      </c>
      <c r="B2554" s="2" t="str">
        <f>"FES1162770736"</f>
        <v>FES1162770736</v>
      </c>
      <c r="C2554" s="2" t="s">
        <v>1513</v>
      </c>
      <c r="D2554" s="2">
        <v>1</v>
      </c>
      <c r="E2554" s="2" t="str">
        <f>"2170756109"</f>
        <v>2170756109</v>
      </c>
      <c r="F2554" s="2" t="s">
        <v>17</v>
      </c>
      <c r="G2554" s="2" t="s">
        <v>18</v>
      </c>
      <c r="H2554" s="2" t="s">
        <v>19</v>
      </c>
      <c r="I2554" s="2" t="s">
        <v>269</v>
      </c>
      <c r="J2554" s="2" t="s">
        <v>655</v>
      </c>
      <c r="K2554" s="2" t="s">
        <v>1762</v>
      </c>
      <c r="L2554" s="3">
        <v>0.4375</v>
      </c>
      <c r="M2554" s="2" t="s">
        <v>1885</v>
      </c>
      <c r="N2554" s="2" t="s">
        <v>500</v>
      </c>
      <c r="O2554" s="2"/>
    </row>
    <row r="2555" spans="1:15" x14ac:dyDescent="0.25">
      <c r="A2555" s="2" t="s">
        <v>15</v>
      </c>
      <c r="B2555" s="2" t="str">
        <f>"FES1162770718"</f>
        <v>FES1162770718</v>
      </c>
      <c r="C2555" s="2" t="s">
        <v>1513</v>
      </c>
      <c r="D2555" s="2">
        <v>1</v>
      </c>
      <c r="E2555" s="2" t="str">
        <f>"2170755938"</f>
        <v>2170755938</v>
      </c>
      <c r="F2555" s="2" t="s">
        <v>17</v>
      </c>
      <c r="G2555" s="2" t="s">
        <v>18</v>
      </c>
      <c r="H2555" s="2" t="s">
        <v>19</v>
      </c>
      <c r="I2555" s="2" t="s">
        <v>20</v>
      </c>
      <c r="J2555" s="2" t="s">
        <v>447</v>
      </c>
      <c r="K2555" s="2" t="s">
        <v>1762</v>
      </c>
      <c r="L2555" s="3">
        <v>0.4375</v>
      </c>
      <c r="M2555" s="2" t="s">
        <v>1886</v>
      </c>
      <c r="N2555" s="2" t="s">
        <v>500</v>
      </c>
      <c r="O2555" s="2"/>
    </row>
    <row r="2556" spans="1:15" x14ac:dyDescent="0.25">
      <c r="A2556" s="2" t="s">
        <v>15</v>
      </c>
      <c r="B2556" s="2" t="str">
        <f>"FES1162770703"</f>
        <v>FES1162770703</v>
      </c>
      <c r="C2556" s="2" t="s">
        <v>1513</v>
      </c>
      <c r="D2556" s="2">
        <v>2</v>
      </c>
      <c r="E2556" s="2" t="str">
        <f>"2170755608"</f>
        <v>2170755608</v>
      </c>
      <c r="F2556" s="2" t="s">
        <v>17</v>
      </c>
      <c r="G2556" s="2" t="s">
        <v>18</v>
      </c>
      <c r="H2556" s="2" t="s">
        <v>25</v>
      </c>
      <c r="I2556" s="2" t="s">
        <v>26</v>
      </c>
      <c r="J2556" s="2" t="s">
        <v>75</v>
      </c>
      <c r="K2556" s="2" t="s">
        <v>1762</v>
      </c>
      <c r="L2556" s="3">
        <v>0.41666666666666669</v>
      </c>
      <c r="M2556" s="2" t="s">
        <v>1865</v>
      </c>
      <c r="N2556" s="2" t="s">
        <v>500</v>
      </c>
      <c r="O2556" s="2"/>
    </row>
    <row r="2557" spans="1:15" x14ac:dyDescent="0.25">
      <c r="A2557" s="2" t="s">
        <v>15</v>
      </c>
      <c r="B2557" s="2" t="str">
        <f>"FES1162770829"</f>
        <v>FES1162770829</v>
      </c>
      <c r="C2557" s="2" t="s">
        <v>1513</v>
      </c>
      <c r="D2557" s="2">
        <v>1</v>
      </c>
      <c r="E2557" s="2" t="str">
        <f>"2170756749"</f>
        <v>2170756749</v>
      </c>
      <c r="F2557" s="2" t="s">
        <v>17</v>
      </c>
      <c r="G2557" s="2" t="s">
        <v>18</v>
      </c>
      <c r="H2557" s="2" t="s">
        <v>25</v>
      </c>
      <c r="I2557" s="2" t="s">
        <v>26</v>
      </c>
      <c r="J2557" s="2" t="s">
        <v>44</v>
      </c>
      <c r="K2557" s="2" t="s">
        <v>1762</v>
      </c>
      <c r="L2557" s="3">
        <v>0.3888888888888889</v>
      </c>
      <c r="M2557" s="2" t="s">
        <v>181</v>
      </c>
      <c r="N2557" s="2" t="s">
        <v>500</v>
      </c>
      <c r="O2557" s="2"/>
    </row>
    <row r="2558" spans="1:15" x14ac:dyDescent="0.25">
      <c r="A2558" s="2" t="s">
        <v>15</v>
      </c>
      <c r="B2558" s="2" t="str">
        <f>"FES1162770876"</f>
        <v>FES1162770876</v>
      </c>
      <c r="C2558" s="2" t="s">
        <v>1513</v>
      </c>
      <c r="D2558" s="2">
        <v>1</v>
      </c>
      <c r="E2558" s="2" t="str">
        <f>"2170757987"</f>
        <v>2170757987</v>
      </c>
      <c r="F2558" s="2" t="s">
        <v>17</v>
      </c>
      <c r="G2558" s="2" t="s">
        <v>18</v>
      </c>
      <c r="H2558" s="2" t="s">
        <v>25</v>
      </c>
      <c r="I2558" s="2" t="s">
        <v>26</v>
      </c>
      <c r="J2558" s="2" t="s">
        <v>622</v>
      </c>
      <c r="K2558" s="2" t="s">
        <v>1762</v>
      </c>
      <c r="L2558" s="3">
        <v>0.35694444444444445</v>
      </c>
      <c r="M2558" s="2" t="s">
        <v>690</v>
      </c>
      <c r="N2558" s="2" t="s">
        <v>500</v>
      </c>
      <c r="O2558" s="2"/>
    </row>
    <row r="2559" spans="1:15" x14ac:dyDescent="0.25">
      <c r="A2559" s="2" t="s">
        <v>15</v>
      </c>
      <c r="B2559" s="2" t="str">
        <f>"FES1162770767"</f>
        <v>FES1162770767</v>
      </c>
      <c r="C2559" s="2" t="s">
        <v>1513</v>
      </c>
      <c r="D2559" s="2">
        <v>1</v>
      </c>
      <c r="E2559" s="2" t="str">
        <f>"2170757976"</f>
        <v>2170757976</v>
      </c>
      <c r="F2559" s="2" t="s">
        <v>17</v>
      </c>
      <c r="G2559" s="2" t="s">
        <v>18</v>
      </c>
      <c r="H2559" s="2" t="s">
        <v>25</v>
      </c>
      <c r="I2559" s="2" t="s">
        <v>39</v>
      </c>
      <c r="J2559" s="2" t="s">
        <v>40</v>
      </c>
      <c r="K2559" s="2" t="s">
        <v>1762</v>
      </c>
      <c r="L2559" s="3">
        <v>0.47013888888888888</v>
      </c>
      <c r="M2559" s="2" t="s">
        <v>1965</v>
      </c>
      <c r="N2559" s="2" t="s">
        <v>500</v>
      </c>
      <c r="O2559" s="2"/>
    </row>
    <row r="2560" spans="1:15" x14ac:dyDescent="0.25">
      <c r="A2560" s="2" t="s">
        <v>15</v>
      </c>
      <c r="B2560" s="2" t="str">
        <f>"FES1162770886"</f>
        <v>FES1162770886</v>
      </c>
      <c r="C2560" s="2" t="s">
        <v>1513</v>
      </c>
      <c r="D2560" s="2">
        <v>1</v>
      </c>
      <c r="E2560" s="2" t="str">
        <f>"2170757997"</f>
        <v>2170757997</v>
      </c>
      <c r="F2560" s="2" t="s">
        <v>17</v>
      </c>
      <c r="G2560" s="2" t="s">
        <v>18</v>
      </c>
      <c r="H2560" s="2" t="s">
        <v>25</v>
      </c>
      <c r="I2560" s="2" t="s">
        <v>26</v>
      </c>
      <c r="J2560" s="2" t="s">
        <v>27</v>
      </c>
      <c r="K2560" s="2" t="s">
        <v>1762</v>
      </c>
      <c r="L2560" s="3">
        <v>0.41666666666666669</v>
      </c>
      <c r="M2560" s="2" t="s">
        <v>521</v>
      </c>
      <c r="N2560" s="2" t="s">
        <v>500</v>
      </c>
      <c r="O2560" s="2"/>
    </row>
    <row r="2561" spans="1:15" x14ac:dyDescent="0.25">
      <c r="A2561" s="2" t="s">
        <v>15</v>
      </c>
      <c r="B2561" s="2" t="str">
        <f>"FES1162770805"</f>
        <v>FES1162770805</v>
      </c>
      <c r="C2561" s="2" t="s">
        <v>1513</v>
      </c>
      <c r="D2561" s="2">
        <v>1</v>
      </c>
      <c r="E2561" s="2" t="str">
        <f>"2170756444"</f>
        <v>2170756444</v>
      </c>
      <c r="F2561" s="2" t="s">
        <v>17</v>
      </c>
      <c r="G2561" s="2" t="s">
        <v>18</v>
      </c>
      <c r="H2561" s="2" t="s">
        <v>33</v>
      </c>
      <c r="I2561" s="2" t="s">
        <v>34</v>
      </c>
      <c r="J2561" s="2" t="s">
        <v>868</v>
      </c>
      <c r="K2561" s="2" t="s">
        <v>1762</v>
      </c>
      <c r="L2561" s="3">
        <v>0.43333333333333335</v>
      </c>
      <c r="M2561" s="2" t="s">
        <v>861</v>
      </c>
      <c r="N2561" s="2" t="s">
        <v>500</v>
      </c>
      <c r="O2561" s="2"/>
    </row>
    <row r="2562" spans="1:15" x14ac:dyDescent="0.25">
      <c r="A2562" s="2" t="s">
        <v>15</v>
      </c>
      <c r="B2562" s="2" t="str">
        <f>"FES1162770877"</f>
        <v>FES1162770877</v>
      </c>
      <c r="C2562" s="2" t="s">
        <v>1513</v>
      </c>
      <c r="D2562" s="2">
        <v>1</v>
      </c>
      <c r="E2562" s="2" t="str">
        <f>"2170757988"</f>
        <v>2170757988</v>
      </c>
      <c r="F2562" s="2" t="s">
        <v>17</v>
      </c>
      <c r="G2562" s="2" t="s">
        <v>18</v>
      </c>
      <c r="H2562" s="2" t="s">
        <v>36</v>
      </c>
      <c r="I2562" s="2" t="s">
        <v>37</v>
      </c>
      <c r="J2562" s="2" t="s">
        <v>162</v>
      </c>
      <c r="K2562" s="2" t="s">
        <v>1762</v>
      </c>
      <c r="L2562" s="3">
        <v>0.36319444444444443</v>
      </c>
      <c r="M2562" s="2" t="s">
        <v>1887</v>
      </c>
      <c r="N2562" s="2" t="s">
        <v>500</v>
      </c>
      <c r="O2562" s="2"/>
    </row>
    <row r="2563" spans="1:15" x14ac:dyDescent="0.25">
      <c r="A2563" s="2" t="s">
        <v>15</v>
      </c>
      <c r="B2563" s="2" t="str">
        <f>"FES1162770769"</f>
        <v>FES1162770769</v>
      </c>
      <c r="C2563" s="2" t="s">
        <v>1513</v>
      </c>
      <c r="D2563" s="2">
        <v>1</v>
      </c>
      <c r="E2563" s="2" t="str">
        <f>"2170757978"</f>
        <v>2170757978</v>
      </c>
      <c r="F2563" s="2" t="s">
        <v>17</v>
      </c>
      <c r="G2563" s="2" t="s">
        <v>18</v>
      </c>
      <c r="H2563" s="2" t="s">
        <v>25</v>
      </c>
      <c r="I2563" s="2" t="s">
        <v>39</v>
      </c>
      <c r="J2563" s="2" t="s">
        <v>40</v>
      </c>
      <c r="K2563" s="2" t="s">
        <v>1762</v>
      </c>
      <c r="L2563" s="3">
        <v>0.41666666666666669</v>
      </c>
      <c r="M2563" s="2" t="s">
        <v>1965</v>
      </c>
      <c r="N2563" s="2" t="s">
        <v>500</v>
      </c>
      <c r="O2563" s="2"/>
    </row>
    <row r="2564" spans="1:15" x14ac:dyDescent="0.25">
      <c r="A2564" s="2" t="s">
        <v>15</v>
      </c>
      <c r="B2564" s="2" t="str">
        <f>"FES1162770789"</f>
        <v>FES1162770789</v>
      </c>
      <c r="C2564" s="2" t="s">
        <v>1513</v>
      </c>
      <c r="D2564" s="2">
        <v>1</v>
      </c>
      <c r="E2564" s="2" t="str">
        <f>"2170755631"</f>
        <v>2170755631</v>
      </c>
      <c r="F2564" s="2" t="s">
        <v>17</v>
      </c>
      <c r="G2564" s="2" t="s">
        <v>18</v>
      </c>
      <c r="H2564" s="2" t="s">
        <v>36</v>
      </c>
      <c r="I2564" s="2" t="s">
        <v>37</v>
      </c>
      <c r="J2564" s="2" t="s">
        <v>378</v>
      </c>
      <c r="K2564" s="2" t="s">
        <v>1762</v>
      </c>
      <c r="L2564" s="3">
        <v>0.4375</v>
      </c>
      <c r="M2564" s="2" t="s">
        <v>1843</v>
      </c>
      <c r="N2564" s="2" t="s">
        <v>500</v>
      </c>
      <c r="O2564" s="2"/>
    </row>
    <row r="2565" spans="1:15" x14ac:dyDescent="0.25">
      <c r="A2565" s="2" t="s">
        <v>15</v>
      </c>
      <c r="B2565" s="2" t="str">
        <f>"FES1162770637"</f>
        <v>FES1162770637</v>
      </c>
      <c r="C2565" s="2" t="s">
        <v>1513</v>
      </c>
      <c r="D2565" s="2">
        <v>1</v>
      </c>
      <c r="E2565" s="2" t="str">
        <f>"2170756731"</f>
        <v>2170756731</v>
      </c>
      <c r="F2565" s="2" t="s">
        <v>17</v>
      </c>
      <c r="G2565" s="2" t="s">
        <v>18</v>
      </c>
      <c r="H2565" s="2" t="s">
        <v>25</v>
      </c>
      <c r="I2565" s="2" t="s">
        <v>345</v>
      </c>
      <c r="J2565" s="2" t="s">
        <v>412</v>
      </c>
      <c r="K2565" s="2" t="s">
        <v>1897</v>
      </c>
      <c r="L2565" s="3">
        <v>0.55763888888888891</v>
      </c>
      <c r="M2565" s="2" t="s">
        <v>1052</v>
      </c>
      <c r="N2565" s="2" t="s">
        <v>500</v>
      </c>
      <c r="O2565" s="2"/>
    </row>
    <row r="2566" spans="1:15" x14ac:dyDescent="0.25">
      <c r="A2566" s="2" t="s">
        <v>15</v>
      </c>
      <c r="B2566" s="2" t="str">
        <f>"FES1162770850"</f>
        <v>FES1162770850</v>
      </c>
      <c r="C2566" s="2" t="s">
        <v>1513</v>
      </c>
      <c r="D2566" s="2">
        <v>1</v>
      </c>
      <c r="E2566" s="2" t="str">
        <f>"2170755649"</f>
        <v>2170755649</v>
      </c>
      <c r="F2566" s="2" t="s">
        <v>17</v>
      </c>
      <c r="G2566" s="2" t="s">
        <v>18</v>
      </c>
      <c r="H2566" s="2" t="s">
        <v>33</v>
      </c>
      <c r="I2566" s="2" t="s">
        <v>34</v>
      </c>
      <c r="J2566" s="2" t="s">
        <v>315</v>
      </c>
      <c r="K2566" s="2" t="s">
        <v>1762</v>
      </c>
      <c r="L2566" s="3">
        <v>0.43333333333333335</v>
      </c>
      <c r="M2566" s="2" t="s">
        <v>1888</v>
      </c>
      <c r="N2566" s="2" t="s">
        <v>500</v>
      </c>
      <c r="O2566" s="2"/>
    </row>
    <row r="2567" spans="1:15" x14ac:dyDescent="0.25">
      <c r="A2567" s="2" t="s">
        <v>15</v>
      </c>
      <c r="B2567" s="2" t="str">
        <f>"FES1162770822"</f>
        <v>FES1162770822</v>
      </c>
      <c r="C2567" s="2" t="s">
        <v>1513</v>
      </c>
      <c r="D2567" s="2">
        <v>1</v>
      </c>
      <c r="E2567" s="2" t="str">
        <f>"2170756651"</f>
        <v>2170756651</v>
      </c>
      <c r="F2567" s="2" t="s">
        <v>17</v>
      </c>
      <c r="G2567" s="2" t="s">
        <v>18</v>
      </c>
      <c r="H2567" s="2" t="s">
        <v>18</v>
      </c>
      <c r="I2567" s="2" t="s">
        <v>46</v>
      </c>
      <c r="J2567" s="2" t="s">
        <v>59</v>
      </c>
      <c r="K2567" s="2" t="s">
        <v>1762</v>
      </c>
      <c r="L2567" s="3">
        <v>0.4375</v>
      </c>
      <c r="M2567" s="2" t="s">
        <v>1590</v>
      </c>
      <c r="N2567" s="2" t="s">
        <v>500</v>
      </c>
      <c r="O2567" s="2"/>
    </row>
    <row r="2568" spans="1:15" x14ac:dyDescent="0.25">
      <c r="A2568" s="2" t="s">
        <v>15</v>
      </c>
      <c r="B2568" s="2" t="str">
        <f>"FES1162770801"</f>
        <v>FES1162770801</v>
      </c>
      <c r="C2568" s="2" t="s">
        <v>1513</v>
      </c>
      <c r="D2568" s="2">
        <v>1</v>
      </c>
      <c r="E2568" s="2" t="str">
        <f>"2170756414"</f>
        <v>2170756414</v>
      </c>
      <c r="F2568" s="2" t="s">
        <v>17</v>
      </c>
      <c r="G2568" s="2" t="s">
        <v>18</v>
      </c>
      <c r="H2568" s="2" t="s">
        <v>363</v>
      </c>
      <c r="I2568" s="2" t="s">
        <v>489</v>
      </c>
      <c r="J2568" s="2" t="s">
        <v>909</v>
      </c>
      <c r="K2568" s="2" t="s">
        <v>1762</v>
      </c>
      <c r="L2568" s="3">
        <v>0.41666666666666669</v>
      </c>
      <c r="M2568" s="2" t="s">
        <v>1966</v>
      </c>
      <c r="N2568" s="2" t="s">
        <v>500</v>
      </c>
      <c r="O2568" s="2"/>
    </row>
    <row r="2569" spans="1:15" x14ac:dyDescent="0.25">
      <c r="A2569" s="2" t="s">
        <v>15</v>
      </c>
      <c r="B2569" s="2" t="str">
        <f>"FES1162770869"</f>
        <v>FES1162770869</v>
      </c>
      <c r="C2569" s="2" t="s">
        <v>1513</v>
      </c>
      <c r="D2569" s="2">
        <v>1</v>
      </c>
      <c r="E2569" s="2" t="str">
        <f>"2170756542"</f>
        <v>2170756542</v>
      </c>
      <c r="F2569" s="2" t="s">
        <v>17</v>
      </c>
      <c r="G2569" s="2" t="s">
        <v>18</v>
      </c>
      <c r="H2569" s="2" t="s">
        <v>25</v>
      </c>
      <c r="I2569" s="2" t="s">
        <v>39</v>
      </c>
      <c r="J2569" s="2" t="s">
        <v>40</v>
      </c>
      <c r="K2569" s="2" t="s">
        <v>1762</v>
      </c>
      <c r="L2569" s="3">
        <v>0.41666666666666669</v>
      </c>
      <c r="M2569" s="2" t="s">
        <v>1965</v>
      </c>
      <c r="N2569" s="2" t="s">
        <v>500</v>
      </c>
      <c r="O2569" s="2"/>
    </row>
    <row r="2570" spans="1:15" x14ac:dyDescent="0.25">
      <c r="A2570" s="2" t="s">
        <v>15</v>
      </c>
      <c r="B2570" s="2" t="str">
        <f>"FES1162770807"</f>
        <v>FES1162770807</v>
      </c>
      <c r="C2570" s="2" t="s">
        <v>1513</v>
      </c>
      <c r="D2570" s="2">
        <v>1</v>
      </c>
      <c r="E2570" s="2" t="str">
        <f>"2170756465"</f>
        <v>2170756465</v>
      </c>
      <c r="F2570" s="2" t="s">
        <v>17</v>
      </c>
      <c r="G2570" s="2" t="s">
        <v>18</v>
      </c>
      <c r="H2570" s="2" t="s">
        <v>18</v>
      </c>
      <c r="I2570" s="2" t="s">
        <v>46</v>
      </c>
      <c r="J2570" s="2" t="s">
        <v>433</v>
      </c>
      <c r="K2570" s="2" t="s">
        <v>1762</v>
      </c>
      <c r="L2570" s="3">
        <v>0.4375</v>
      </c>
      <c r="M2570" s="2" t="s">
        <v>531</v>
      </c>
      <c r="N2570" s="2" t="s">
        <v>500</v>
      </c>
      <c r="O2570" s="2"/>
    </row>
    <row r="2571" spans="1:15" x14ac:dyDescent="0.25">
      <c r="A2571" s="2" t="s">
        <v>15</v>
      </c>
      <c r="B2571" s="2" t="str">
        <f>"FES1162770641"</f>
        <v>FES1162770641</v>
      </c>
      <c r="C2571" s="2" t="s">
        <v>1513</v>
      </c>
      <c r="D2571" s="2">
        <v>1</v>
      </c>
      <c r="E2571" s="2" t="str">
        <f>"2170756871"</f>
        <v>2170756871</v>
      </c>
      <c r="F2571" s="2" t="s">
        <v>17</v>
      </c>
      <c r="G2571" s="2" t="s">
        <v>18</v>
      </c>
      <c r="H2571" s="2" t="s">
        <v>36</v>
      </c>
      <c r="I2571" s="2" t="s">
        <v>37</v>
      </c>
      <c r="J2571" s="2" t="s">
        <v>272</v>
      </c>
      <c r="K2571" s="2" t="s">
        <v>1762</v>
      </c>
      <c r="L2571" s="3">
        <v>0.3923611111111111</v>
      </c>
      <c r="M2571" s="2" t="s">
        <v>538</v>
      </c>
      <c r="N2571" s="2" t="s">
        <v>500</v>
      </c>
      <c r="O2571" s="2"/>
    </row>
    <row r="2572" spans="1:15" x14ac:dyDescent="0.25">
      <c r="A2572" s="2" t="s">
        <v>15</v>
      </c>
      <c r="B2572" s="2" t="str">
        <f>"FES1162770630"</f>
        <v>FES1162770630</v>
      </c>
      <c r="C2572" s="2" t="s">
        <v>1513</v>
      </c>
      <c r="D2572" s="2">
        <v>1</v>
      </c>
      <c r="E2572" s="2" t="str">
        <f>"2170756444"</f>
        <v>2170756444</v>
      </c>
      <c r="F2572" s="2" t="s">
        <v>17</v>
      </c>
      <c r="G2572" s="2" t="s">
        <v>18</v>
      </c>
      <c r="H2572" s="2" t="s">
        <v>33</v>
      </c>
      <c r="I2572" s="2" t="s">
        <v>34</v>
      </c>
      <c r="J2572" s="2" t="s">
        <v>868</v>
      </c>
      <c r="K2572" s="2" t="s">
        <v>1762</v>
      </c>
      <c r="L2572" s="3">
        <v>0.43333333333333335</v>
      </c>
      <c r="M2572" s="2" t="s">
        <v>861</v>
      </c>
      <c r="N2572" s="2" t="s">
        <v>500</v>
      </c>
      <c r="O2572" s="2"/>
    </row>
    <row r="2573" spans="1:15" x14ac:dyDescent="0.25">
      <c r="A2573" s="2" t="s">
        <v>15</v>
      </c>
      <c r="B2573" s="2" t="str">
        <f>"FES1162770678"</f>
        <v>FES1162770678</v>
      </c>
      <c r="C2573" s="2" t="s">
        <v>1513</v>
      </c>
      <c r="D2573" s="2">
        <v>1</v>
      </c>
      <c r="E2573" s="2" t="str">
        <f>"2170757939"</f>
        <v>2170757939</v>
      </c>
      <c r="F2573" s="2" t="s">
        <v>17</v>
      </c>
      <c r="G2573" s="2" t="s">
        <v>18</v>
      </c>
      <c r="H2573" s="2" t="s">
        <v>36</v>
      </c>
      <c r="I2573" s="2" t="s">
        <v>134</v>
      </c>
      <c r="J2573" s="2" t="s">
        <v>135</v>
      </c>
      <c r="K2573" s="2" t="s">
        <v>1762</v>
      </c>
      <c r="L2573" s="3">
        <v>0.4375</v>
      </c>
      <c r="M2573" s="2" t="s">
        <v>744</v>
      </c>
      <c r="N2573" s="2" t="s">
        <v>500</v>
      </c>
      <c r="O2573" s="2"/>
    </row>
    <row r="2574" spans="1:15" x14ac:dyDescent="0.25">
      <c r="A2574" s="2" t="s">
        <v>15</v>
      </c>
      <c r="B2574" s="2" t="str">
        <f>"FES1162770780"</f>
        <v>FES1162770780</v>
      </c>
      <c r="C2574" s="2" t="s">
        <v>1513</v>
      </c>
      <c r="D2574" s="2">
        <v>1</v>
      </c>
      <c r="E2574" s="2" t="str">
        <f>"2170754301"</f>
        <v>2170754301</v>
      </c>
      <c r="F2574" s="2" t="s">
        <v>17</v>
      </c>
      <c r="G2574" s="2" t="s">
        <v>18</v>
      </c>
      <c r="H2574" s="2" t="s">
        <v>19</v>
      </c>
      <c r="I2574" s="2" t="s">
        <v>20</v>
      </c>
      <c r="J2574" s="2" t="s">
        <v>428</v>
      </c>
      <c r="K2574" s="2" t="s">
        <v>1762</v>
      </c>
      <c r="L2574" s="3">
        <v>0.4375</v>
      </c>
      <c r="M2574" s="2" t="s">
        <v>1889</v>
      </c>
      <c r="N2574" s="2" t="s">
        <v>500</v>
      </c>
      <c r="O2574" s="2"/>
    </row>
    <row r="2575" spans="1:15" x14ac:dyDescent="0.25">
      <c r="A2575" s="2" t="s">
        <v>15</v>
      </c>
      <c r="B2575" s="2" t="str">
        <f>"FES1162770843"</f>
        <v>FES1162770843</v>
      </c>
      <c r="C2575" s="2" t="s">
        <v>1513</v>
      </c>
      <c r="D2575" s="2">
        <v>1</v>
      </c>
      <c r="E2575" s="2" t="str">
        <f>"2170757953"</f>
        <v>2170757953</v>
      </c>
      <c r="F2575" s="2" t="s">
        <v>17</v>
      </c>
      <c r="G2575" s="2" t="s">
        <v>18</v>
      </c>
      <c r="H2575" s="2" t="s">
        <v>33</v>
      </c>
      <c r="I2575" s="2" t="s">
        <v>34</v>
      </c>
      <c r="J2575" s="2" t="s">
        <v>868</v>
      </c>
      <c r="K2575" s="2" t="s">
        <v>1762</v>
      </c>
      <c r="L2575" s="3">
        <v>0.43333333333333335</v>
      </c>
      <c r="M2575" s="2" t="s">
        <v>861</v>
      </c>
      <c r="N2575" s="2" t="s">
        <v>500</v>
      </c>
      <c r="O2575" s="2"/>
    </row>
    <row r="2576" spans="1:15" x14ac:dyDescent="0.25">
      <c r="A2576" s="2" t="s">
        <v>15</v>
      </c>
      <c r="B2576" s="2" t="str">
        <f>"FES1162770813"</f>
        <v>FES1162770813</v>
      </c>
      <c r="C2576" s="2" t="s">
        <v>1513</v>
      </c>
      <c r="D2576" s="2">
        <v>1</v>
      </c>
      <c r="E2576" s="2" t="str">
        <f>"2170756555"</f>
        <v>2170756555</v>
      </c>
      <c r="F2576" s="2" t="s">
        <v>17</v>
      </c>
      <c r="G2576" s="2" t="s">
        <v>18</v>
      </c>
      <c r="H2576" s="2" t="s">
        <v>25</v>
      </c>
      <c r="I2576" s="2" t="s">
        <v>26</v>
      </c>
      <c r="J2576" s="2" t="s">
        <v>100</v>
      </c>
      <c r="K2576" s="2" t="s">
        <v>1762</v>
      </c>
      <c r="L2576" s="3">
        <v>0.30902777777777779</v>
      </c>
      <c r="M2576" s="2" t="s">
        <v>1853</v>
      </c>
      <c r="N2576" s="2" t="s">
        <v>500</v>
      </c>
      <c r="O2576" s="2"/>
    </row>
    <row r="2577" spans="1:15" x14ac:dyDescent="0.25">
      <c r="A2577" s="2" t="s">
        <v>15</v>
      </c>
      <c r="B2577" s="2" t="str">
        <f>"FES1162770730"</f>
        <v>FES1162770730</v>
      </c>
      <c r="C2577" s="2" t="s">
        <v>1513</v>
      </c>
      <c r="D2577" s="2">
        <v>1</v>
      </c>
      <c r="E2577" s="2" t="str">
        <f>"2170756027"</f>
        <v>2170756027</v>
      </c>
      <c r="F2577" s="2" t="s">
        <v>17</v>
      </c>
      <c r="G2577" s="2" t="s">
        <v>18</v>
      </c>
      <c r="H2577" s="2" t="s">
        <v>18</v>
      </c>
      <c r="I2577" s="2" t="s">
        <v>46</v>
      </c>
      <c r="J2577" s="2" t="s">
        <v>59</v>
      </c>
      <c r="K2577" s="2" t="s">
        <v>1762</v>
      </c>
      <c r="L2577" s="3">
        <v>0.4375</v>
      </c>
      <c r="M2577" s="2" t="s">
        <v>1590</v>
      </c>
      <c r="N2577" s="2" t="s">
        <v>500</v>
      </c>
      <c r="O2577" s="2"/>
    </row>
    <row r="2578" spans="1:15" x14ac:dyDescent="0.25">
      <c r="A2578" s="2" t="s">
        <v>15</v>
      </c>
      <c r="B2578" s="2" t="str">
        <f>"FES1162770623"</f>
        <v>FES1162770623</v>
      </c>
      <c r="C2578" s="2" t="s">
        <v>1513</v>
      </c>
      <c r="D2578" s="2">
        <v>1</v>
      </c>
      <c r="E2578" s="2" t="str">
        <f>"2170755833"</f>
        <v>2170755833</v>
      </c>
      <c r="F2578" s="2" t="s">
        <v>17</v>
      </c>
      <c r="G2578" s="2" t="s">
        <v>18</v>
      </c>
      <c r="H2578" s="2" t="s">
        <v>19</v>
      </c>
      <c r="I2578" s="2" t="s">
        <v>20</v>
      </c>
      <c r="J2578" s="2" t="s">
        <v>166</v>
      </c>
      <c r="K2578" s="2" t="s">
        <v>1762</v>
      </c>
      <c r="L2578" s="3">
        <v>0.4375</v>
      </c>
      <c r="M2578" s="2" t="s">
        <v>1890</v>
      </c>
      <c r="N2578" s="2" t="s">
        <v>500</v>
      </c>
      <c r="O2578" s="2"/>
    </row>
    <row r="2579" spans="1:15" x14ac:dyDescent="0.25">
      <c r="A2579" s="2" t="s">
        <v>15</v>
      </c>
      <c r="B2579" s="2" t="str">
        <f>"FES1162770861"</f>
        <v>FES1162770861</v>
      </c>
      <c r="C2579" s="2" t="s">
        <v>1513</v>
      </c>
      <c r="D2579" s="2">
        <v>1</v>
      </c>
      <c r="E2579" s="2" t="str">
        <f>"2170756474"</f>
        <v>2170756474</v>
      </c>
      <c r="F2579" s="2" t="s">
        <v>17</v>
      </c>
      <c r="G2579" s="2" t="s">
        <v>18</v>
      </c>
      <c r="H2579" s="2" t="s">
        <v>36</v>
      </c>
      <c r="I2579" s="2" t="s">
        <v>37</v>
      </c>
      <c r="J2579" s="2" t="s">
        <v>102</v>
      </c>
      <c r="K2579" s="2" t="s">
        <v>1762</v>
      </c>
      <c r="L2579" s="3">
        <v>0.39861111111111108</v>
      </c>
      <c r="M2579" s="2" t="s">
        <v>1872</v>
      </c>
      <c r="N2579" s="2" t="s">
        <v>500</v>
      </c>
      <c r="O2579" s="2"/>
    </row>
    <row r="2580" spans="1:15" x14ac:dyDescent="0.25">
      <c r="A2580" s="2" t="s">
        <v>15</v>
      </c>
      <c r="B2580" s="2" t="str">
        <f>"FES1162770651"</f>
        <v>FES1162770651</v>
      </c>
      <c r="C2580" s="2" t="s">
        <v>1513</v>
      </c>
      <c r="D2580" s="2">
        <v>1</v>
      </c>
      <c r="E2580" s="2" t="str">
        <f>"2170757511"</f>
        <v>2170757511</v>
      </c>
      <c r="F2580" s="2" t="s">
        <v>17</v>
      </c>
      <c r="G2580" s="2" t="s">
        <v>18</v>
      </c>
      <c r="H2580" s="2" t="s">
        <v>36</v>
      </c>
      <c r="I2580" s="2" t="s">
        <v>37</v>
      </c>
      <c r="J2580" s="2" t="s">
        <v>467</v>
      </c>
      <c r="K2580" s="2" t="s">
        <v>1762</v>
      </c>
      <c r="L2580" s="3">
        <v>0.4236111111111111</v>
      </c>
      <c r="M2580" s="2" t="s">
        <v>1891</v>
      </c>
      <c r="N2580" s="2" t="s">
        <v>500</v>
      </c>
      <c r="O2580" s="2"/>
    </row>
    <row r="2581" spans="1:15" x14ac:dyDescent="0.25">
      <c r="A2581" s="2" t="s">
        <v>15</v>
      </c>
      <c r="B2581" s="2" t="str">
        <f>"FES1162770776"</f>
        <v>FES1162770776</v>
      </c>
      <c r="C2581" s="2" t="s">
        <v>1513</v>
      </c>
      <c r="D2581" s="2">
        <v>1</v>
      </c>
      <c r="E2581" s="2" t="str">
        <f>"2170753356"</f>
        <v>2170753356</v>
      </c>
      <c r="F2581" s="2" t="s">
        <v>17</v>
      </c>
      <c r="G2581" s="2" t="s">
        <v>18</v>
      </c>
      <c r="H2581" s="2" t="s">
        <v>25</v>
      </c>
      <c r="I2581" s="2" t="s">
        <v>26</v>
      </c>
      <c r="J2581" s="2" t="s">
        <v>75</v>
      </c>
      <c r="K2581" s="2" t="s">
        <v>1762</v>
      </c>
      <c r="L2581" s="3">
        <v>0.41666666666666669</v>
      </c>
      <c r="M2581" s="2" t="s">
        <v>1865</v>
      </c>
      <c r="N2581" s="2" t="s">
        <v>500</v>
      </c>
      <c r="O2581" s="2"/>
    </row>
    <row r="2582" spans="1:15" x14ac:dyDescent="0.25">
      <c r="A2582" s="2" t="s">
        <v>15</v>
      </c>
      <c r="B2582" s="2" t="str">
        <f>"FES1162770620"</f>
        <v>FES1162770620</v>
      </c>
      <c r="C2582" s="2" t="s">
        <v>1513</v>
      </c>
      <c r="D2582" s="2">
        <v>1</v>
      </c>
      <c r="E2582" s="2" t="str">
        <f>"2170755005"</f>
        <v>2170755005</v>
      </c>
      <c r="F2582" s="2" t="s">
        <v>17</v>
      </c>
      <c r="G2582" s="2" t="s">
        <v>18</v>
      </c>
      <c r="H2582" s="2" t="s">
        <v>36</v>
      </c>
      <c r="I2582" s="2" t="s">
        <v>37</v>
      </c>
      <c r="J2582" s="2" t="s">
        <v>162</v>
      </c>
      <c r="K2582" s="2" t="s">
        <v>1762</v>
      </c>
      <c r="L2582" s="3">
        <v>0.36319444444444443</v>
      </c>
      <c r="M2582" s="2" t="s">
        <v>1066</v>
      </c>
      <c r="N2582" s="2" t="s">
        <v>500</v>
      </c>
      <c r="O2582" s="2"/>
    </row>
    <row r="2583" spans="1:15" x14ac:dyDescent="0.25">
      <c r="A2583" s="2" t="s">
        <v>15</v>
      </c>
      <c r="B2583" s="2" t="str">
        <f>"FES1162770717"</f>
        <v>FES1162770717</v>
      </c>
      <c r="C2583" s="2" t="s">
        <v>1513</v>
      </c>
      <c r="D2583" s="2">
        <v>1</v>
      </c>
      <c r="E2583" s="2" t="str">
        <f>"2170755936"</f>
        <v>2170755936</v>
      </c>
      <c r="F2583" s="2" t="s">
        <v>17</v>
      </c>
      <c r="G2583" s="2" t="s">
        <v>18</v>
      </c>
      <c r="H2583" s="2" t="s">
        <v>19</v>
      </c>
      <c r="I2583" s="2" t="s">
        <v>20</v>
      </c>
      <c r="J2583" s="2" t="s">
        <v>380</v>
      </c>
      <c r="K2583" s="2" t="s">
        <v>1762</v>
      </c>
      <c r="L2583" s="3">
        <v>0.4375</v>
      </c>
      <c r="M2583" s="2" t="s">
        <v>1892</v>
      </c>
      <c r="N2583" s="2" t="s">
        <v>500</v>
      </c>
      <c r="O2583" s="2"/>
    </row>
    <row r="2584" spans="1:15" x14ac:dyDescent="0.25">
      <c r="A2584" s="2" t="s">
        <v>15</v>
      </c>
      <c r="B2584" s="2" t="str">
        <f>"FES1162770845"</f>
        <v>FES1162770845</v>
      </c>
      <c r="C2584" s="2" t="s">
        <v>1513</v>
      </c>
      <c r="D2584" s="2">
        <v>1</v>
      </c>
      <c r="E2584" s="2" t="str">
        <f>"2170757982"</f>
        <v>2170757982</v>
      </c>
      <c r="F2584" s="2" t="s">
        <v>17</v>
      </c>
      <c r="G2584" s="2" t="s">
        <v>18</v>
      </c>
      <c r="H2584" s="2" t="s">
        <v>18</v>
      </c>
      <c r="I2584" s="2" t="s">
        <v>63</v>
      </c>
      <c r="J2584" s="2" t="s">
        <v>880</v>
      </c>
      <c r="K2584" s="2" t="s">
        <v>1897</v>
      </c>
      <c r="L2584" s="3">
        <v>0.60069444444444442</v>
      </c>
      <c r="M2584" s="2" t="s">
        <v>1967</v>
      </c>
      <c r="N2584" s="2" t="s">
        <v>500</v>
      </c>
      <c r="O2584" s="2"/>
    </row>
    <row r="2585" spans="1:15" x14ac:dyDescent="0.25">
      <c r="A2585" s="2" t="s">
        <v>15</v>
      </c>
      <c r="B2585" s="2" t="str">
        <f>"FES1162770794"</f>
        <v>FES1162770794</v>
      </c>
      <c r="C2585" s="2" t="s">
        <v>1513</v>
      </c>
      <c r="D2585" s="2">
        <v>1</v>
      </c>
      <c r="E2585" s="2" t="str">
        <f>"2170755817"</f>
        <v>2170755817</v>
      </c>
      <c r="F2585" s="2" t="s">
        <v>17</v>
      </c>
      <c r="G2585" s="2" t="s">
        <v>18</v>
      </c>
      <c r="H2585" s="2" t="s">
        <v>36</v>
      </c>
      <c r="I2585" s="2" t="s">
        <v>37</v>
      </c>
      <c r="J2585" s="2" t="s">
        <v>1458</v>
      </c>
      <c r="K2585" s="2" t="s">
        <v>1762</v>
      </c>
      <c r="L2585" s="3">
        <v>0.3888888888888889</v>
      </c>
      <c r="M2585" s="2" t="s">
        <v>1893</v>
      </c>
      <c r="N2585" s="2" t="s">
        <v>500</v>
      </c>
      <c r="O2585" s="2"/>
    </row>
    <row r="2586" spans="1:15" x14ac:dyDescent="0.25">
      <c r="A2586" s="2" t="s">
        <v>15</v>
      </c>
      <c r="B2586" s="2" t="str">
        <f>"FES1162770830"</f>
        <v>FES1162770830</v>
      </c>
      <c r="C2586" s="2" t="s">
        <v>1513</v>
      </c>
      <c r="D2586" s="2">
        <v>1</v>
      </c>
      <c r="E2586" s="2" t="str">
        <f>"2170756758"</f>
        <v>2170756758</v>
      </c>
      <c r="F2586" s="2" t="s">
        <v>17</v>
      </c>
      <c r="G2586" s="2" t="s">
        <v>18</v>
      </c>
      <c r="H2586" s="2" t="s">
        <v>36</v>
      </c>
      <c r="I2586" s="2" t="s">
        <v>37</v>
      </c>
      <c r="J2586" s="2" t="s">
        <v>54</v>
      </c>
      <c r="K2586" s="2" t="s">
        <v>1762</v>
      </c>
      <c r="L2586" s="3">
        <v>0.40763888888888888</v>
      </c>
      <c r="M2586" s="2" t="s">
        <v>509</v>
      </c>
      <c r="N2586" s="2" t="s">
        <v>500</v>
      </c>
      <c r="O2586" s="2"/>
    </row>
    <row r="2587" spans="1:15" x14ac:dyDescent="0.25">
      <c r="A2587" s="2" t="s">
        <v>15</v>
      </c>
      <c r="B2587" s="2" t="str">
        <f>"FES1162770668"</f>
        <v>FES1162770668</v>
      </c>
      <c r="C2587" s="2" t="s">
        <v>1513</v>
      </c>
      <c r="D2587" s="2">
        <v>1</v>
      </c>
      <c r="E2587" s="2" t="str">
        <f>"2170757920"</f>
        <v>2170757920</v>
      </c>
      <c r="F2587" s="2" t="s">
        <v>17</v>
      </c>
      <c r="G2587" s="2" t="s">
        <v>18</v>
      </c>
      <c r="H2587" s="2" t="s">
        <v>25</v>
      </c>
      <c r="I2587" s="2" t="s">
        <v>125</v>
      </c>
      <c r="J2587" s="2" t="s">
        <v>126</v>
      </c>
      <c r="K2587" s="2" t="s">
        <v>1762</v>
      </c>
      <c r="L2587" s="3">
        <v>0.4375</v>
      </c>
      <c r="M2587" s="2" t="s">
        <v>703</v>
      </c>
      <c r="N2587" s="2" t="s">
        <v>500</v>
      </c>
      <c r="O2587" s="2"/>
    </row>
    <row r="2588" spans="1:15" x14ac:dyDescent="0.25">
      <c r="A2588" s="2" t="s">
        <v>15</v>
      </c>
      <c r="B2588" s="2" t="str">
        <f>"FES1162770716"</f>
        <v>FES1162770716</v>
      </c>
      <c r="C2588" s="2" t="s">
        <v>1513</v>
      </c>
      <c r="D2588" s="2">
        <v>1</v>
      </c>
      <c r="E2588" s="2" t="str">
        <f>"2170755929"</f>
        <v>2170755929</v>
      </c>
      <c r="F2588" s="2" t="s">
        <v>17</v>
      </c>
      <c r="G2588" s="2" t="s">
        <v>18</v>
      </c>
      <c r="H2588" s="2" t="s">
        <v>25</v>
      </c>
      <c r="I2588" s="2" t="s">
        <v>39</v>
      </c>
      <c r="J2588" s="2" t="s">
        <v>40</v>
      </c>
      <c r="K2588" s="2" t="s">
        <v>1762</v>
      </c>
      <c r="L2588" s="3">
        <v>0.4694444444444445</v>
      </c>
      <c r="M2588" s="2" t="s">
        <v>1965</v>
      </c>
      <c r="N2588" s="2" t="s">
        <v>500</v>
      </c>
      <c r="O2588" s="2"/>
    </row>
    <row r="2589" spans="1:15" x14ac:dyDescent="0.25">
      <c r="A2589" s="2" t="s">
        <v>15</v>
      </c>
      <c r="B2589" s="2" t="str">
        <f>"FES1162770788"</f>
        <v>FES1162770788</v>
      </c>
      <c r="C2589" s="2" t="s">
        <v>1513</v>
      </c>
      <c r="D2589" s="2">
        <v>1</v>
      </c>
      <c r="E2589" s="2" t="str">
        <f>"2170755604"</f>
        <v>2170755604</v>
      </c>
      <c r="F2589" s="2" t="s">
        <v>17</v>
      </c>
      <c r="G2589" s="2" t="s">
        <v>18</v>
      </c>
      <c r="H2589" s="2" t="s">
        <v>18</v>
      </c>
      <c r="I2589" s="2" t="s">
        <v>65</v>
      </c>
      <c r="J2589" s="2" t="s">
        <v>296</v>
      </c>
      <c r="K2589" s="2" t="s">
        <v>1762</v>
      </c>
      <c r="L2589" s="3">
        <v>0.31805555555555554</v>
      </c>
      <c r="M2589" s="2" t="s">
        <v>1894</v>
      </c>
      <c r="N2589" s="2" t="s">
        <v>500</v>
      </c>
      <c r="O2589" s="2"/>
    </row>
    <row r="2590" spans="1:15" x14ac:dyDescent="0.25">
      <c r="A2590" s="2" t="s">
        <v>15</v>
      </c>
      <c r="B2590" s="2" t="str">
        <f>"FES1162770624"</f>
        <v>FES1162770624</v>
      </c>
      <c r="C2590" s="2" t="s">
        <v>1513</v>
      </c>
      <c r="D2590" s="2">
        <v>1</v>
      </c>
      <c r="E2590" s="2" t="str">
        <f>"2170755936"</f>
        <v>2170755936</v>
      </c>
      <c r="F2590" s="2" t="s">
        <v>17</v>
      </c>
      <c r="G2590" s="2" t="s">
        <v>18</v>
      </c>
      <c r="H2590" s="2" t="s">
        <v>19</v>
      </c>
      <c r="I2590" s="2" t="s">
        <v>20</v>
      </c>
      <c r="J2590" s="2" t="s">
        <v>380</v>
      </c>
      <c r="K2590" s="2" t="s">
        <v>1762</v>
      </c>
      <c r="L2590" s="3">
        <v>0.4375</v>
      </c>
      <c r="M2590" s="2" t="s">
        <v>1892</v>
      </c>
      <c r="N2590" s="2" t="s">
        <v>500</v>
      </c>
      <c r="O2590" s="2"/>
    </row>
    <row r="2591" spans="1:15" x14ac:dyDescent="0.25">
      <c r="A2591" s="2" t="s">
        <v>15</v>
      </c>
      <c r="B2591" s="2" t="str">
        <f>"FES1162770705"</f>
        <v>FES1162770705</v>
      </c>
      <c r="C2591" s="2" t="s">
        <v>1513</v>
      </c>
      <c r="D2591" s="2">
        <v>1</v>
      </c>
      <c r="E2591" s="2" t="str">
        <f>"2170755660"</f>
        <v>2170755660</v>
      </c>
      <c r="F2591" s="2" t="s">
        <v>17</v>
      </c>
      <c r="G2591" s="2" t="s">
        <v>18</v>
      </c>
      <c r="H2591" s="2" t="s">
        <v>25</v>
      </c>
      <c r="I2591" s="2" t="s">
        <v>26</v>
      </c>
      <c r="J2591" s="2" t="s">
        <v>1146</v>
      </c>
      <c r="K2591" s="2" t="s">
        <v>1762</v>
      </c>
      <c r="L2591" s="3">
        <v>0.41666666666666669</v>
      </c>
      <c r="M2591" s="2" t="s">
        <v>1209</v>
      </c>
      <c r="N2591" s="2" t="s">
        <v>500</v>
      </c>
      <c r="O2591" s="2"/>
    </row>
    <row r="2592" spans="1:15" x14ac:dyDescent="0.25">
      <c r="A2592" s="2" t="s">
        <v>15</v>
      </c>
      <c r="B2592" s="2" t="str">
        <f>"FES1162770661"</f>
        <v>FES1162770661</v>
      </c>
      <c r="C2592" s="2" t="s">
        <v>1513</v>
      </c>
      <c r="D2592" s="2">
        <v>1</v>
      </c>
      <c r="E2592" s="2" t="str">
        <f>"2170759701"</f>
        <v>2170759701</v>
      </c>
      <c r="F2592" s="2" t="s">
        <v>17</v>
      </c>
      <c r="G2592" s="2" t="s">
        <v>18</v>
      </c>
      <c r="H2592" s="2" t="s">
        <v>19</v>
      </c>
      <c r="I2592" s="2" t="s">
        <v>111</v>
      </c>
      <c r="J2592" s="2" t="s">
        <v>405</v>
      </c>
      <c r="K2592" s="2" t="s">
        <v>1762</v>
      </c>
      <c r="L2592" s="3">
        <v>0.36805555555555558</v>
      </c>
      <c r="M2592" s="2" t="s">
        <v>1895</v>
      </c>
      <c r="N2592" s="2" t="s">
        <v>500</v>
      </c>
      <c r="O2592" s="2"/>
    </row>
    <row r="2593" spans="1:15" x14ac:dyDescent="0.25">
      <c r="A2593" s="2" t="s">
        <v>15</v>
      </c>
      <c r="B2593" s="2" t="str">
        <f>"FES1162770796"</f>
        <v>FES1162770796</v>
      </c>
      <c r="C2593" s="2" t="s">
        <v>1513</v>
      </c>
      <c r="D2593" s="2">
        <v>1</v>
      </c>
      <c r="E2593" s="2" t="str">
        <f>"2170755842"</f>
        <v>2170755842</v>
      </c>
      <c r="F2593" s="2" t="s">
        <v>17</v>
      </c>
      <c r="G2593" s="2" t="s">
        <v>18</v>
      </c>
      <c r="H2593" s="2" t="s">
        <v>18</v>
      </c>
      <c r="I2593" s="2" t="s">
        <v>46</v>
      </c>
      <c r="J2593" s="2" t="s">
        <v>59</v>
      </c>
      <c r="K2593" s="2" t="s">
        <v>1762</v>
      </c>
      <c r="L2593" s="3">
        <v>0.4375</v>
      </c>
      <c r="M2593" s="2" t="s">
        <v>1590</v>
      </c>
      <c r="N2593" s="2" t="s">
        <v>500</v>
      </c>
      <c r="O2593" s="2"/>
    </row>
    <row r="2594" spans="1:15" x14ac:dyDescent="0.25">
      <c r="A2594" s="2" t="s">
        <v>15</v>
      </c>
      <c r="B2594" s="2" t="str">
        <f>"FES1162770773"</f>
        <v>FES1162770773</v>
      </c>
      <c r="C2594" s="2" t="s">
        <v>1513</v>
      </c>
      <c r="D2594" s="2">
        <v>1</v>
      </c>
      <c r="E2594" s="2" t="str">
        <f>"2170750422"</f>
        <v>2170750422</v>
      </c>
      <c r="F2594" s="2" t="s">
        <v>17</v>
      </c>
      <c r="G2594" s="2" t="s">
        <v>18</v>
      </c>
      <c r="H2594" s="2" t="s">
        <v>36</v>
      </c>
      <c r="I2594" s="2" t="s">
        <v>67</v>
      </c>
      <c r="J2594" s="2" t="s">
        <v>68</v>
      </c>
      <c r="K2594" s="2" t="s">
        <v>1762</v>
      </c>
      <c r="L2594" s="3">
        <v>0.40277777777777773</v>
      </c>
      <c r="M2594" s="2" t="s">
        <v>1668</v>
      </c>
      <c r="N2594" s="2" t="s">
        <v>500</v>
      </c>
      <c r="O2594" s="2"/>
    </row>
    <row r="2595" spans="1:15" x14ac:dyDescent="0.25">
      <c r="A2595" s="2" t="s">
        <v>15</v>
      </c>
      <c r="B2595" s="2" t="str">
        <f>"FES1162770760"</f>
        <v>FES1162770760</v>
      </c>
      <c r="C2595" s="2" t="s">
        <v>1513</v>
      </c>
      <c r="D2595" s="2">
        <v>1</v>
      </c>
      <c r="E2595" s="2" t="str">
        <f>"2170757969"</f>
        <v>2170757969</v>
      </c>
      <c r="F2595" s="2" t="s">
        <v>17</v>
      </c>
      <c r="G2595" s="2" t="s">
        <v>18</v>
      </c>
      <c r="H2595" s="2" t="s">
        <v>18</v>
      </c>
      <c r="I2595" s="2" t="s">
        <v>57</v>
      </c>
      <c r="J2595" s="2" t="s">
        <v>903</v>
      </c>
      <c r="K2595" s="2" t="s">
        <v>1762</v>
      </c>
      <c r="L2595" s="3">
        <v>0.4375</v>
      </c>
      <c r="M2595" s="2" t="s">
        <v>1842</v>
      </c>
      <c r="N2595" s="2" t="s">
        <v>500</v>
      </c>
      <c r="O2595" s="2"/>
    </row>
    <row r="2596" spans="1:15" x14ac:dyDescent="0.25">
      <c r="A2596" s="2" t="s">
        <v>15</v>
      </c>
      <c r="B2596" s="2" t="str">
        <f>"FES1162770839"</f>
        <v>FES1162770839</v>
      </c>
      <c r="C2596" s="2" t="s">
        <v>1513</v>
      </c>
      <c r="D2596" s="2">
        <v>1</v>
      </c>
      <c r="E2596" s="2" t="str">
        <f>"2170757562"</f>
        <v>2170757562</v>
      </c>
      <c r="F2596" s="2" t="s">
        <v>17</v>
      </c>
      <c r="G2596" s="2" t="s">
        <v>18</v>
      </c>
      <c r="H2596" s="2" t="s">
        <v>19</v>
      </c>
      <c r="I2596" s="2" t="s">
        <v>20</v>
      </c>
      <c r="J2596" s="2" t="s">
        <v>327</v>
      </c>
      <c r="K2596" s="2" t="s">
        <v>1762</v>
      </c>
      <c r="L2596" s="3">
        <v>0.4375</v>
      </c>
      <c r="M2596" s="2" t="s">
        <v>1882</v>
      </c>
      <c r="N2596" s="2" t="s">
        <v>500</v>
      </c>
      <c r="O2596" s="2"/>
    </row>
    <row r="2597" spans="1:15" x14ac:dyDescent="0.25">
      <c r="A2597" s="2" t="s">
        <v>15</v>
      </c>
      <c r="B2597" s="2" t="str">
        <f>"FES1162770622"</f>
        <v>FES1162770622</v>
      </c>
      <c r="C2597" s="2" t="s">
        <v>1513</v>
      </c>
      <c r="D2597" s="2">
        <v>1</v>
      </c>
      <c r="E2597" s="2" t="str">
        <f>"2170755818"</f>
        <v>2170755818</v>
      </c>
      <c r="F2597" s="2" t="s">
        <v>17</v>
      </c>
      <c r="G2597" s="2" t="s">
        <v>18</v>
      </c>
      <c r="H2597" s="2" t="s">
        <v>19</v>
      </c>
      <c r="I2597" s="2" t="s">
        <v>111</v>
      </c>
      <c r="J2597" s="2" t="s">
        <v>369</v>
      </c>
      <c r="K2597" s="2" t="s">
        <v>1762</v>
      </c>
      <c r="L2597" s="3">
        <v>0.4375</v>
      </c>
      <c r="M2597" s="2" t="s">
        <v>370</v>
      </c>
      <c r="N2597" s="2" t="s">
        <v>500</v>
      </c>
      <c r="O2597" s="2"/>
    </row>
    <row r="2598" spans="1:15" x14ac:dyDescent="0.25">
      <c r="A2598" s="2" t="s">
        <v>15</v>
      </c>
      <c r="B2598" s="2" t="str">
        <f>"FES1162770714"</f>
        <v>FES1162770714</v>
      </c>
      <c r="C2598" s="2" t="s">
        <v>1513</v>
      </c>
      <c r="D2598" s="2">
        <v>1</v>
      </c>
      <c r="E2598" s="2" t="str">
        <f>"2170755916"</f>
        <v>2170755916</v>
      </c>
      <c r="F2598" s="2" t="s">
        <v>17</v>
      </c>
      <c r="G2598" s="2" t="s">
        <v>18</v>
      </c>
      <c r="H2598" s="2" t="s">
        <v>78</v>
      </c>
      <c r="I2598" s="2" t="s">
        <v>79</v>
      </c>
      <c r="J2598" s="2" t="s">
        <v>383</v>
      </c>
      <c r="K2598" s="2" t="s">
        <v>1762</v>
      </c>
      <c r="L2598" s="3">
        <v>0.43402777777777773</v>
      </c>
      <c r="M2598" s="2" t="s">
        <v>1896</v>
      </c>
      <c r="N2598" s="2" t="s">
        <v>500</v>
      </c>
      <c r="O2598" s="2"/>
    </row>
    <row r="2599" spans="1:15" x14ac:dyDescent="0.25">
      <c r="A2599" s="5" t="s">
        <v>15</v>
      </c>
      <c r="B2599" s="5" t="str">
        <f>"FES1162770640"</f>
        <v>FES1162770640</v>
      </c>
      <c r="C2599" s="5" t="s">
        <v>1513</v>
      </c>
      <c r="D2599" s="5">
        <v>1</v>
      </c>
      <c r="E2599" s="5" t="str">
        <f>"2170756849"</f>
        <v>2170756849</v>
      </c>
      <c r="F2599" s="5" t="s">
        <v>17</v>
      </c>
      <c r="G2599" s="5" t="s">
        <v>18</v>
      </c>
      <c r="H2599" s="5" t="s">
        <v>19</v>
      </c>
      <c r="I2599" s="5" t="s">
        <v>20</v>
      </c>
      <c r="J2599" s="5" t="s">
        <v>482</v>
      </c>
      <c r="K2599" s="5" t="s">
        <v>2197</v>
      </c>
      <c r="L2599" s="9">
        <v>0.56111111111111112</v>
      </c>
      <c r="M2599" s="5" t="s">
        <v>2315</v>
      </c>
      <c r="N2599" s="5" t="s">
        <v>500</v>
      </c>
      <c r="O2599" s="5"/>
    </row>
    <row r="2600" spans="1:15" x14ac:dyDescent="0.25">
      <c r="A2600" s="2" t="s">
        <v>15</v>
      </c>
      <c r="B2600" s="2" t="str">
        <f>"FES1162770808"</f>
        <v>FES1162770808</v>
      </c>
      <c r="C2600" s="2" t="s">
        <v>1513</v>
      </c>
      <c r="D2600" s="2">
        <v>1</v>
      </c>
      <c r="E2600" s="2" t="str">
        <f>"2170756490"</f>
        <v>2170756490</v>
      </c>
      <c r="F2600" s="2" t="s">
        <v>17</v>
      </c>
      <c r="G2600" s="2" t="s">
        <v>18</v>
      </c>
      <c r="H2600" s="2" t="s">
        <v>88</v>
      </c>
      <c r="I2600" s="2" t="s">
        <v>109</v>
      </c>
      <c r="J2600" s="2" t="s">
        <v>1027</v>
      </c>
      <c r="K2600" s="2" t="s">
        <v>1897</v>
      </c>
      <c r="L2600" s="3">
        <v>0.32847222222222222</v>
      </c>
      <c r="M2600" s="2" t="s">
        <v>1968</v>
      </c>
      <c r="N2600" s="2" t="s">
        <v>500</v>
      </c>
      <c r="O2600" s="2"/>
    </row>
    <row r="2601" spans="1:15" x14ac:dyDescent="0.25">
      <c r="A2601" s="2" t="s">
        <v>15</v>
      </c>
      <c r="B2601" s="2" t="str">
        <f>"FES1162770709"</f>
        <v>FES1162770709</v>
      </c>
      <c r="C2601" s="2" t="s">
        <v>1513</v>
      </c>
      <c r="D2601" s="2">
        <v>1</v>
      </c>
      <c r="E2601" s="2" t="str">
        <f>"2170755876"</f>
        <v>2170755876</v>
      </c>
      <c r="F2601" s="2" t="s">
        <v>17</v>
      </c>
      <c r="G2601" s="2" t="s">
        <v>18</v>
      </c>
      <c r="H2601" s="2" t="s">
        <v>18</v>
      </c>
      <c r="I2601" s="2" t="s">
        <v>116</v>
      </c>
      <c r="J2601" s="2" t="s">
        <v>169</v>
      </c>
      <c r="K2601" s="2" t="s">
        <v>1762</v>
      </c>
      <c r="L2601" s="3">
        <v>0.43055555555555558</v>
      </c>
      <c r="M2601" s="2" t="s">
        <v>1898</v>
      </c>
      <c r="N2601" s="2" t="s">
        <v>500</v>
      </c>
      <c r="O2601" s="2"/>
    </row>
    <row r="2602" spans="1:15" x14ac:dyDescent="0.25">
      <c r="A2602" s="2" t="s">
        <v>15</v>
      </c>
      <c r="B2602" s="2" t="str">
        <f>"FES1162770664"</f>
        <v>FES1162770664</v>
      </c>
      <c r="C2602" s="2" t="s">
        <v>1513</v>
      </c>
      <c r="D2602" s="2">
        <v>1</v>
      </c>
      <c r="E2602" s="2" t="str">
        <f>"2170757906"</f>
        <v>2170757906</v>
      </c>
      <c r="F2602" s="2" t="s">
        <v>17</v>
      </c>
      <c r="G2602" s="2" t="s">
        <v>18</v>
      </c>
      <c r="H2602" s="2" t="s">
        <v>18</v>
      </c>
      <c r="I2602" s="2" t="s">
        <v>46</v>
      </c>
      <c r="J2602" s="2" t="s">
        <v>59</v>
      </c>
      <c r="K2602" s="2" t="s">
        <v>1762</v>
      </c>
      <c r="L2602" s="3">
        <v>0.4375</v>
      </c>
      <c r="M2602" s="2" t="s">
        <v>1590</v>
      </c>
      <c r="N2602" s="2" t="s">
        <v>500</v>
      </c>
      <c r="O2602" s="2"/>
    </row>
    <row r="2603" spans="1:15" x14ac:dyDescent="0.25">
      <c r="A2603" s="2" t="s">
        <v>15</v>
      </c>
      <c r="B2603" s="2" t="str">
        <f>"FES1162770739"</f>
        <v>FES1162770739</v>
      </c>
      <c r="C2603" s="2" t="s">
        <v>1513</v>
      </c>
      <c r="D2603" s="2">
        <v>1</v>
      </c>
      <c r="E2603" s="2" t="str">
        <f>"2170756148"</f>
        <v>2170756148</v>
      </c>
      <c r="F2603" s="2" t="s">
        <v>17</v>
      </c>
      <c r="G2603" s="2" t="s">
        <v>18</v>
      </c>
      <c r="H2603" s="2" t="s">
        <v>18</v>
      </c>
      <c r="I2603" s="2" t="s">
        <v>57</v>
      </c>
      <c r="J2603" s="2" t="s">
        <v>475</v>
      </c>
      <c r="K2603" s="2" t="s">
        <v>1762</v>
      </c>
      <c r="L2603" s="3">
        <v>0.31319444444444444</v>
      </c>
      <c r="M2603" s="2" t="s">
        <v>584</v>
      </c>
      <c r="N2603" s="2" t="s">
        <v>500</v>
      </c>
      <c r="O2603" s="2"/>
    </row>
    <row r="2604" spans="1:15" x14ac:dyDescent="0.25">
      <c r="A2604" s="2" t="s">
        <v>15</v>
      </c>
      <c r="B2604" s="2" t="str">
        <f>"FES1162770626"</f>
        <v>FES1162770626</v>
      </c>
      <c r="C2604" s="2" t="s">
        <v>1513</v>
      </c>
      <c r="D2604" s="2">
        <v>1</v>
      </c>
      <c r="E2604" s="2" t="str">
        <f>"2170756228"</f>
        <v>2170756228</v>
      </c>
      <c r="F2604" s="2" t="s">
        <v>17</v>
      </c>
      <c r="G2604" s="2" t="s">
        <v>18</v>
      </c>
      <c r="H2604" s="2" t="s">
        <v>18</v>
      </c>
      <c r="I2604" s="2" t="s">
        <v>494</v>
      </c>
      <c r="J2604" s="2" t="s">
        <v>495</v>
      </c>
      <c r="K2604" s="2" t="s">
        <v>1762</v>
      </c>
      <c r="L2604" s="3">
        <v>0.60416666666666663</v>
      </c>
      <c r="M2604" s="2" t="s">
        <v>599</v>
      </c>
      <c r="N2604" s="2" t="s">
        <v>500</v>
      </c>
      <c r="O2604" s="2"/>
    </row>
    <row r="2605" spans="1:15" x14ac:dyDescent="0.25">
      <c r="A2605" s="2" t="s">
        <v>15</v>
      </c>
      <c r="B2605" s="2" t="str">
        <f>"FES1162770673"</f>
        <v>FES1162770673</v>
      </c>
      <c r="C2605" s="2" t="s">
        <v>1513</v>
      </c>
      <c r="D2605" s="2">
        <v>1</v>
      </c>
      <c r="E2605" s="2" t="str">
        <f>"2170757929"</f>
        <v>2170757929</v>
      </c>
      <c r="F2605" s="2" t="s">
        <v>17</v>
      </c>
      <c r="G2605" s="2" t="s">
        <v>18</v>
      </c>
      <c r="H2605" s="2" t="s">
        <v>18</v>
      </c>
      <c r="I2605" s="2" t="s">
        <v>63</v>
      </c>
      <c r="J2605" s="2" t="s">
        <v>1800</v>
      </c>
      <c r="K2605" s="2" t="s">
        <v>1762</v>
      </c>
      <c r="L2605" s="3">
        <v>0.43541666666666662</v>
      </c>
      <c r="M2605" s="2" t="s">
        <v>1899</v>
      </c>
      <c r="N2605" s="2" t="s">
        <v>500</v>
      </c>
      <c r="O2605" s="2"/>
    </row>
    <row r="2606" spans="1:15" x14ac:dyDescent="0.25">
      <c r="A2606" s="2" t="s">
        <v>15</v>
      </c>
      <c r="B2606" s="2" t="str">
        <f>"FES1162770663"</f>
        <v>FES1162770663</v>
      </c>
      <c r="C2606" s="2" t="s">
        <v>1513</v>
      </c>
      <c r="D2606" s="2">
        <v>1</v>
      </c>
      <c r="E2606" s="2" t="str">
        <f>"2170757904"</f>
        <v>2170757904</v>
      </c>
      <c r="F2606" s="2" t="s">
        <v>17</v>
      </c>
      <c r="G2606" s="2" t="s">
        <v>18</v>
      </c>
      <c r="H2606" s="2" t="s">
        <v>18</v>
      </c>
      <c r="I2606" s="2" t="s">
        <v>329</v>
      </c>
      <c r="J2606" s="2" t="s">
        <v>1311</v>
      </c>
      <c r="K2606" s="2" t="s">
        <v>1762</v>
      </c>
      <c r="L2606" s="3">
        <v>0.43055555555555558</v>
      </c>
      <c r="M2606" s="2" t="s">
        <v>1900</v>
      </c>
      <c r="N2606" s="2" t="s">
        <v>500</v>
      </c>
      <c r="O2606" s="2"/>
    </row>
    <row r="2607" spans="1:15" x14ac:dyDescent="0.25">
      <c r="A2607" s="2" t="s">
        <v>15</v>
      </c>
      <c r="B2607" s="2" t="str">
        <f>"FES1162770708"</f>
        <v>FES1162770708</v>
      </c>
      <c r="C2607" s="2" t="s">
        <v>1513</v>
      </c>
      <c r="D2607" s="2">
        <v>1</v>
      </c>
      <c r="E2607" s="2" t="str">
        <f>"2170755856"</f>
        <v>2170755856</v>
      </c>
      <c r="F2607" s="2" t="s">
        <v>17</v>
      </c>
      <c r="G2607" s="2" t="s">
        <v>18</v>
      </c>
      <c r="H2607" s="2" t="s">
        <v>88</v>
      </c>
      <c r="I2607" s="2" t="s">
        <v>109</v>
      </c>
      <c r="J2607" s="2" t="s">
        <v>155</v>
      </c>
      <c r="K2607" s="2" t="s">
        <v>1762</v>
      </c>
      <c r="L2607" s="3">
        <v>0.375</v>
      </c>
      <c r="M2607" s="2" t="s">
        <v>1901</v>
      </c>
      <c r="N2607" s="2" t="s">
        <v>500</v>
      </c>
      <c r="O2607" s="2"/>
    </row>
    <row r="2608" spans="1:15" x14ac:dyDescent="0.25">
      <c r="A2608" s="2" t="s">
        <v>15</v>
      </c>
      <c r="B2608" s="2" t="str">
        <f>"FES1162770659"</f>
        <v>FES1162770659</v>
      </c>
      <c r="C2608" s="2" t="s">
        <v>1513</v>
      </c>
      <c r="D2608" s="2">
        <v>1</v>
      </c>
      <c r="E2608" s="2" t="str">
        <f>"2170757893"</f>
        <v>2170757893</v>
      </c>
      <c r="F2608" s="2" t="s">
        <v>17</v>
      </c>
      <c r="G2608" s="2" t="s">
        <v>18</v>
      </c>
      <c r="H2608" s="2" t="s">
        <v>18</v>
      </c>
      <c r="I2608" s="2" t="s">
        <v>46</v>
      </c>
      <c r="J2608" s="2" t="s">
        <v>1801</v>
      </c>
      <c r="K2608" s="2" t="s">
        <v>1762</v>
      </c>
      <c r="L2608" s="3">
        <v>0.33888888888888885</v>
      </c>
      <c r="M2608" s="2" t="s">
        <v>1902</v>
      </c>
      <c r="N2608" s="2" t="s">
        <v>500</v>
      </c>
      <c r="O2608" s="2"/>
    </row>
    <row r="2609" spans="1:15" x14ac:dyDescent="0.25">
      <c r="A2609" s="2" t="s">
        <v>15</v>
      </c>
      <c r="B2609" s="2" t="str">
        <f>"FES1162770656"</f>
        <v>FES1162770656</v>
      </c>
      <c r="C2609" s="2" t="s">
        <v>1513</v>
      </c>
      <c r="D2609" s="2">
        <v>1</v>
      </c>
      <c r="E2609" s="2" t="str">
        <f>"2170757816"</f>
        <v>2170757816</v>
      </c>
      <c r="F2609" s="2" t="s">
        <v>17</v>
      </c>
      <c r="G2609" s="2" t="s">
        <v>18</v>
      </c>
      <c r="H2609" s="2" t="s">
        <v>18</v>
      </c>
      <c r="I2609" s="2" t="s">
        <v>52</v>
      </c>
      <c r="J2609" s="2" t="s">
        <v>466</v>
      </c>
      <c r="K2609" s="2" t="s">
        <v>1762</v>
      </c>
      <c r="L2609" s="3">
        <v>0.4375</v>
      </c>
      <c r="M2609" s="2" t="s">
        <v>1903</v>
      </c>
      <c r="N2609" s="2" t="s">
        <v>500</v>
      </c>
      <c r="O2609" s="2"/>
    </row>
    <row r="2610" spans="1:15" x14ac:dyDescent="0.25">
      <c r="A2610" s="2" t="s">
        <v>15</v>
      </c>
      <c r="B2610" s="2" t="str">
        <f>"FES1162770645"</f>
        <v>FES1162770645</v>
      </c>
      <c r="C2610" s="2" t="s">
        <v>1513</v>
      </c>
      <c r="D2610" s="2">
        <v>1</v>
      </c>
      <c r="E2610" s="2" t="str">
        <f>"2170757301"</f>
        <v>2170757301</v>
      </c>
      <c r="F2610" s="2" t="s">
        <v>17</v>
      </c>
      <c r="G2610" s="2" t="s">
        <v>18</v>
      </c>
      <c r="H2610" s="2" t="s">
        <v>88</v>
      </c>
      <c r="I2610" s="2" t="s">
        <v>109</v>
      </c>
      <c r="J2610" s="2" t="s">
        <v>894</v>
      </c>
      <c r="K2610" s="2" t="s">
        <v>1762</v>
      </c>
      <c r="L2610" s="3">
        <v>0.41666666666666669</v>
      </c>
      <c r="M2610" s="2" t="s">
        <v>1904</v>
      </c>
      <c r="N2610" s="2" t="s">
        <v>500</v>
      </c>
      <c r="O2610" s="2"/>
    </row>
    <row r="2611" spans="1:15" x14ac:dyDescent="0.25">
      <c r="A2611" s="2" t="s">
        <v>15</v>
      </c>
      <c r="B2611" s="2" t="str">
        <f>"FES1162770654"</f>
        <v>FES1162770654</v>
      </c>
      <c r="C2611" s="2" t="s">
        <v>1513</v>
      </c>
      <c r="D2611" s="2">
        <v>1</v>
      </c>
      <c r="E2611" s="2" t="str">
        <f>"2170757661"</f>
        <v>2170757661</v>
      </c>
      <c r="F2611" s="2" t="s">
        <v>17</v>
      </c>
      <c r="G2611" s="2" t="s">
        <v>18</v>
      </c>
      <c r="H2611" s="2" t="s">
        <v>18</v>
      </c>
      <c r="I2611" s="2" t="s">
        <v>63</v>
      </c>
      <c r="J2611" s="2" t="s">
        <v>93</v>
      </c>
      <c r="K2611" s="2" t="s">
        <v>1762</v>
      </c>
      <c r="L2611" s="3">
        <v>0.39861111111111108</v>
      </c>
      <c r="M2611" s="2" t="s">
        <v>1905</v>
      </c>
      <c r="N2611" s="2" t="s">
        <v>500</v>
      </c>
      <c r="O2611" s="2"/>
    </row>
    <row r="2612" spans="1:15" x14ac:dyDescent="0.25">
      <c r="A2612" s="2" t="s">
        <v>15</v>
      </c>
      <c r="B2612" s="2" t="str">
        <f>"FES1162770846"</f>
        <v>FES1162770846</v>
      </c>
      <c r="C2612" s="2" t="s">
        <v>1513</v>
      </c>
      <c r="D2612" s="2">
        <v>1</v>
      </c>
      <c r="E2612" s="2" t="str">
        <f>"2170757986"</f>
        <v>2170757986</v>
      </c>
      <c r="F2612" s="2" t="s">
        <v>17</v>
      </c>
      <c r="G2612" s="2" t="s">
        <v>18</v>
      </c>
      <c r="H2612" s="2" t="s">
        <v>18</v>
      </c>
      <c r="I2612" s="2" t="s">
        <v>157</v>
      </c>
      <c r="J2612" s="2" t="s">
        <v>158</v>
      </c>
      <c r="K2612" s="2" t="s">
        <v>1762</v>
      </c>
      <c r="L2612" s="3">
        <v>0.375</v>
      </c>
      <c r="M2612" s="2" t="s">
        <v>253</v>
      </c>
      <c r="N2612" s="2" t="s">
        <v>500</v>
      </c>
      <c r="O2612" s="2"/>
    </row>
    <row r="2613" spans="1:15" x14ac:dyDescent="0.25">
      <c r="A2613" s="2" t="s">
        <v>15</v>
      </c>
      <c r="B2613" s="2" t="str">
        <f>"FES1162770742"</f>
        <v>FES1162770742</v>
      </c>
      <c r="C2613" s="2" t="s">
        <v>1513</v>
      </c>
      <c r="D2613" s="2">
        <v>1</v>
      </c>
      <c r="E2613" s="2" t="str">
        <f>"2170756180"</f>
        <v>2170756180</v>
      </c>
      <c r="F2613" s="2" t="s">
        <v>17</v>
      </c>
      <c r="G2613" s="2" t="s">
        <v>18</v>
      </c>
      <c r="H2613" s="2" t="s">
        <v>18</v>
      </c>
      <c r="I2613" s="2" t="s">
        <v>329</v>
      </c>
      <c r="J2613" s="2" t="s">
        <v>1028</v>
      </c>
      <c r="K2613" s="2" t="s">
        <v>1762</v>
      </c>
      <c r="L2613" s="3">
        <v>0.41666666666666669</v>
      </c>
      <c r="M2613" s="2" t="s">
        <v>1906</v>
      </c>
      <c r="N2613" s="2" t="s">
        <v>500</v>
      </c>
      <c r="O2613" s="2"/>
    </row>
    <row r="2614" spans="1:15" x14ac:dyDescent="0.25">
      <c r="A2614" s="2" t="s">
        <v>15</v>
      </c>
      <c r="B2614" s="2" t="str">
        <f>"FES1162770658"</f>
        <v>FES1162770658</v>
      </c>
      <c r="C2614" s="2" t="s">
        <v>1513</v>
      </c>
      <c r="D2614" s="2">
        <v>1</v>
      </c>
      <c r="E2614" s="2" t="str">
        <f>"2170757855"</f>
        <v>2170757855</v>
      </c>
      <c r="F2614" s="2" t="s">
        <v>17</v>
      </c>
      <c r="G2614" s="2" t="s">
        <v>18</v>
      </c>
      <c r="H2614" s="2" t="s">
        <v>19</v>
      </c>
      <c r="I2614" s="2" t="s">
        <v>1802</v>
      </c>
      <c r="J2614" s="2" t="s">
        <v>1803</v>
      </c>
      <c r="K2614" s="2" t="s">
        <v>1762</v>
      </c>
      <c r="L2614" s="3">
        <v>0.55277777777777781</v>
      </c>
      <c r="M2614" s="2" t="s">
        <v>1508</v>
      </c>
      <c r="N2614" s="2" t="s">
        <v>500</v>
      </c>
      <c r="O2614" s="2"/>
    </row>
    <row r="2615" spans="1:15" x14ac:dyDescent="0.25">
      <c r="A2615" s="2" t="s">
        <v>15</v>
      </c>
      <c r="B2615" s="2" t="str">
        <f>"FES1162770733"</f>
        <v>FES1162770733</v>
      </c>
      <c r="C2615" s="2" t="s">
        <v>1513</v>
      </c>
      <c r="D2615" s="2">
        <v>1</v>
      </c>
      <c r="E2615" s="2" t="str">
        <f>"2170756051"</f>
        <v>2170756051</v>
      </c>
      <c r="F2615" s="2" t="s">
        <v>17</v>
      </c>
      <c r="G2615" s="2" t="s">
        <v>18</v>
      </c>
      <c r="H2615" s="2" t="s">
        <v>18</v>
      </c>
      <c r="I2615" s="2" t="s">
        <v>57</v>
      </c>
      <c r="J2615" s="2" t="s">
        <v>1804</v>
      </c>
      <c r="K2615" s="2" t="s">
        <v>1762</v>
      </c>
      <c r="L2615" s="3">
        <v>0.43333333333333335</v>
      </c>
      <c r="M2615" s="2" t="s">
        <v>1907</v>
      </c>
      <c r="N2615" s="2" t="s">
        <v>500</v>
      </c>
      <c r="O2615" s="2"/>
    </row>
    <row r="2616" spans="1:15" x14ac:dyDescent="0.25">
      <c r="A2616" s="2" t="s">
        <v>15</v>
      </c>
      <c r="B2616" s="2" t="str">
        <f>"FES1162770679"</f>
        <v>FES1162770679</v>
      </c>
      <c r="C2616" s="2" t="s">
        <v>1513</v>
      </c>
      <c r="D2616" s="2">
        <v>1</v>
      </c>
      <c r="E2616" s="2" t="str">
        <f>"2170757941"</f>
        <v>2170757941</v>
      </c>
      <c r="F2616" s="2" t="s">
        <v>17</v>
      </c>
      <c r="G2616" s="2" t="s">
        <v>18</v>
      </c>
      <c r="H2616" s="2" t="s">
        <v>363</v>
      </c>
      <c r="I2616" s="2" t="s">
        <v>489</v>
      </c>
      <c r="J2616" s="2" t="s">
        <v>909</v>
      </c>
      <c r="K2616" s="2" t="s">
        <v>1762</v>
      </c>
      <c r="L2616" s="3">
        <v>0.41666666666666669</v>
      </c>
      <c r="M2616" s="2" t="s">
        <v>1966</v>
      </c>
      <c r="N2616" s="2" t="s">
        <v>500</v>
      </c>
      <c r="O2616" s="2"/>
    </row>
    <row r="2617" spans="1:15" x14ac:dyDescent="0.25">
      <c r="A2617" s="2" t="s">
        <v>15</v>
      </c>
      <c r="B2617" s="2" t="str">
        <f>"FES1162770734"</f>
        <v>FES1162770734</v>
      </c>
      <c r="C2617" s="2" t="s">
        <v>1513</v>
      </c>
      <c r="D2617" s="2">
        <v>1</v>
      </c>
      <c r="E2617" s="2" t="str">
        <f>"2170756070"</f>
        <v>2170756070</v>
      </c>
      <c r="F2617" s="2" t="s">
        <v>17</v>
      </c>
      <c r="G2617" s="2" t="s">
        <v>18</v>
      </c>
      <c r="H2617" s="2" t="s">
        <v>78</v>
      </c>
      <c r="I2617" s="2" t="s">
        <v>79</v>
      </c>
      <c r="J2617" s="2" t="s">
        <v>898</v>
      </c>
      <c r="K2617" s="2" t="s">
        <v>1762</v>
      </c>
      <c r="L2617" s="3">
        <v>0.38611111111111113</v>
      </c>
      <c r="M2617" s="2" t="s">
        <v>1908</v>
      </c>
      <c r="N2617" s="2" t="s">
        <v>500</v>
      </c>
      <c r="O2617" s="2"/>
    </row>
    <row r="2618" spans="1:15" x14ac:dyDescent="0.25">
      <c r="A2618" s="2" t="s">
        <v>15</v>
      </c>
      <c r="B2618" s="2" t="str">
        <f>"FES1162770725"</f>
        <v>FES1162770725</v>
      </c>
      <c r="C2618" s="2" t="s">
        <v>1513</v>
      </c>
      <c r="D2618" s="2">
        <v>1</v>
      </c>
      <c r="E2618" s="2" t="str">
        <f>"2170755991"</f>
        <v>2170755991</v>
      </c>
      <c r="F2618" s="2" t="s">
        <v>17</v>
      </c>
      <c r="G2618" s="2" t="s">
        <v>18</v>
      </c>
      <c r="H2618" s="2" t="s">
        <v>36</v>
      </c>
      <c r="I2618" s="2" t="s">
        <v>37</v>
      </c>
      <c r="J2618" s="2" t="s">
        <v>661</v>
      </c>
      <c r="K2618" s="2" t="s">
        <v>1762</v>
      </c>
      <c r="L2618" s="3">
        <v>0.3576388888888889</v>
      </c>
      <c r="M2618" s="2" t="s">
        <v>1909</v>
      </c>
      <c r="N2618" s="2" t="s">
        <v>500</v>
      </c>
      <c r="O2618" s="2"/>
    </row>
    <row r="2619" spans="1:15" x14ac:dyDescent="0.25">
      <c r="A2619" s="2" t="s">
        <v>15</v>
      </c>
      <c r="B2619" s="2" t="str">
        <f>"FES1162770856"</f>
        <v>FES1162770856</v>
      </c>
      <c r="C2619" s="2" t="s">
        <v>1513</v>
      </c>
      <c r="D2619" s="2">
        <v>1</v>
      </c>
      <c r="E2619" s="2" t="str">
        <f>"2170756368"</f>
        <v>2170756368</v>
      </c>
      <c r="F2619" s="2" t="s">
        <v>17</v>
      </c>
      <c r="G2619" s="2" t="s">
        <v>18</v>
      </c>
      <c r="H2619" s="2" t="s">
        <v>25</v>
      </c>
      <c r="I2619" s="2" t="s">
        <v>26</v>
      </c>
      <c r="J2619" s="2" t="s">
        <v>27</v>
      </c>
      <c r="K2619" s="2" t="s">
        <v>1762</v>
      </c>
      <c r="L2619" s="3">
        <v>0.41666666666666669</v>
      </c>
      <c r="M2619" s="2" t="s">
        <v>521</v>
      </c>
      <c r="N2619" s="2" t="s">
        <v>500</v>
      </c>
      <c r="O2619" s="2"/>
    </row>
    <row r="2620" spans="1:15" x14ac:dyDescent="0.25">
      <c r="A2620" s="2" t="s">
        <v>15</v>
      </c>
      <c r="B2620" s="2" t="str">
        <f>"FES1162770798"</f>
        <v>FES1162770798</v>
      </c>
      <c r="C2620" s="2" t="s">
        <v>1513</v>
      </c>
      <c r="D2620" s="2">
        <v>1</v>
      </c>
      <c r="E2620" s="2" t="str">
        <f>"2170756214"</f>
        <v>2170756214</v>
      </c>
      <c r="F2620" s="2" t="s">
        <v>17</v>
      </c>
      <c r="G2620" s="2" t="s">
        <v>18</v>
      </c>
      <c r="H2620" s="2" t="s">
        <v>36</v>
      </c>
      <c r="I2620" s="2" t="s">
        <v>67</v>
      </c>
      <c r="J2620" s="2" t="s">
        <v>780</v>
      </c>
      <c r="K2620" s="2" t="s">
        <v>1762</v>
      </c>
      <c r="L2620" s="3">
        <v>0.43055555555555558</v>
      </c>
      <c r="M2620" s="2" t="s">
        <v>1111</v>
      </c>
      <c r="N2620" s="2" t="s">
        <v>500</v>
      </c>
      <c r="O2620" s="2"/>
    </row>
    <row r="2621" spans="1:15" x14ac:dyDescent="0.25">
      <c r="A2621" s="2" t="s">
        <v>15</v>
      </c>
      <c r="B2621" s="2" t="str">
        <f>"FES1162770867"</f>
        <v>FES1162770867</v>
      </c>
      <c r="C2621" s="2" t="s">
        <v>1513</v>
      </c>
      <c r="D2621" s="2">
        <v>1</v>
      </c>
      <c r="E2621" s="2" t="str">
        <f>"2170756524"</f>
        <v>2170756524</v>
      </c>
      <c r="F2621" s="2" t="s">
        <v>17</v>
      </c>
      <c r="G2621" s="2" t="s">
        <v>18</v>
      </c>
      <c r="H2621" s="2" t="s">
        <v>36</v>
      </c>
      <c r="I2621" s="2" t="s">
        <v>37</v>
      </c>
      <c r="J2621" s="2" t="s">
        <v>55</v>
      </c>
      <c r="K2621" s="2" t="s">
        <v>1762</v>
      </c>
      <c r="L2621" s="3">
        <v>0.34722222222222227</v>
      </c>
      <c r="M2621" s="2" t="s">
        <v>1910</v>
      </c>
      <c r="N2621" s="2" t="s">
        <v>500</v>
      </c>
      <c r="O2621" s="2"/>
    </row>
    <row r="2622" spans="1:15" x14ac:dyDescent="0.25">
      <c r="A2622" s="2" t="s">
        <v>15</v>
      </c>
      <c r="B2622" s="2" t="str">
        <f>"FES1162770882"</f>
        <v>FES1162770882</v>
      </c>
      <c r="C2622" s="2" t="s">
        <v>1513</v>
      </c>
      <c r="D2622" s="2">
        <v>1</v>
      </c>
      <c r="E2622" s="2" t="str">
        <f>"2170758004"</f>
        <v>2170758004</v>
      </c>
      <c r="F2622" s="2" t="s">
        <v>17</v>
      </c>
      <c r="G2622" s="2" t="s">
        <v>18</v>
      </c>
      <c r="H2622" s="2" t="s">
        <v>19</v>
      </c>
      <c r="I2622" s="2" t="s">
        <v>20</v>
      </c>
      <c r="J2622" s="2" t="s">
        <v>29</v>
      </c>
      <c r="K2622" s="2" t="s">
        <v>1762</v>
      </c>
      <c r="L2622" s="3">
        <v>0.54166666666666663</v>
      </c>
      <c r="M2622" s="2" t="s">
        <v>1733</v>
      </c>
      <c r="N2622" s="2" t="s">
        <v>500</v>
      </c>
      <c r="O2622" s="2"/>
    </row>
    <row r="2623" spans="1:15" x14ac:dyDescent="0.25">
      <c r="A2623" s="5" t="s">
        <v>15</v>
      </c>
      <c r="B2623" s="5" t="str">
        <f>"FES1162770425"</f>
        <v>FES1162770425</v>
      </c>
      <c r="C2623" s="5" t="s">
        <v>1513</v>
      </c>
      <c r="D2623" s="5">
        <v>1</v>
      </c>
      <c r="E2623" s="5" t="str">
        <f>"2170756410"</f>
        <v>2170756410</v>
      </c>
      <c r="F2623" s="5" t="s">
        <v>17</v>
      </c>
      <c r="G2623" s="5" t="s">
        <v>18</v>
      </c>
      <c r="H2623" s="5" t="s">
        <v>19</v>
      </c>
      <c r="I2623" s="5" t="s">
        <v>20</v>
      </c>
      <c r="J2623" s="5" t="s">
        <v>21</v>
      </c>
      <c r="K2623" s="5" t="s">
        <v>1762</v>
      </c>
      <c r="L2623" s="9">
        <v>0.4375</v>
      </c>
      <c r="M2623" s="5" t="s">
        <v>1911</v>
      </c>
      <c r="N2623" s="5" t="s">
        <v>500</v>
      </c>
      <c r="O2623" s="5"/>
    </row>
    <row r="2624" spans="1:15" x14ac:dyDescent="0.25">
      <c r="A2624" s="5" t="s">
        <v>15</v>
      </c>
      <c r="B2624" s="5" t="str">
        <f>"FES1162770831"</f>
        <v>FES1162770831</v>
      </c>
      <c r="C2624" s="5" t="s">
        <v>1513</v>
      </c>
      <c r="D2624" s="5">
        <v>1</v>
      </c>
      <c r="E2624" s="5" t="str">
        <f>"2170756761"</f>
        <v>2170756761</v>
      </c>
      <c r="F2624" s="5" t="s">
        <v>17</v>
      </c>
      <c r="G2624" s="5" t="s">
        <v>18</v>
      </c>
      <c r="H2624" s="5" t="s">
        <v>25</v>
      </c>
      <c r="I2624" s="5" t="s">
        <v>624</v>
      </c>
      <c r="J2624" s="5" t="s">
        <v>625</v>
      </c>
      <c r="K2624" s="5" t="s">
        <v>1969</v>
      </c>
      <c r="L2624" s="9">
        <v>0.41666666666666669</v>
      </c>
      <c r="M2624" s="5" t="s">
        <v>2235</v>
      </c>
      <c r="N2624" s="5" t="s">
        <v>500</v>
      </c>
      <c r="O2624" s="5"/>
    </row>
    <row r="2625" spans="1:15" x14ac:dyDescent="0.25">
      <c r="A2625" s="2" t="s">
        <v>15</v>
      </c>
      <c r="B2625" s="2" t="str">
        <f>"FES1162770740"</f>
        <v>FES1162770740</v>
      </c>
      <c r="C2625" s="2" t="s">
        <v>1513</v>
      </c>
      <c r="D2625" s="2">
        <v>1</v>
      </c>
      <c r="E2625" s="2" t="str">
        <f>"2170756157"</f>
        <v>2170756157</v>
      </c>
      <c r="F2625" s="2" t="s">
        <v>17</v>
      </c>
      <c r="G2625" s="2" t="s">
        <v>18</v>
      </c>
      <c r="H2625" s="2" t="s">
        <v>25</v>
      </c>
      <c r="I2625" s="2" t="s">
        <v>26</v>
      </c>
      <c r="J2625" s="2" t="s">
        <v>75</v>
      </c>
      <c r="K2625" s="2" t="s">
        <v>1762</v>
      </c>
      <c r="L2625" s="3">
        <v>0.41666666666666669</v>
      </c>
      <c r="M2625" s="2" t="s">
        <v>1865</v>
      </c>
      <c r="N2625" s="2" t="s">
        <v>500</v>
      </c>
      <c r="O2625" s="2"/>
    </row>
    <row r="2626" spans="1:15" x14ac:dyDescent="0.25">
      <c r="A2626" s="2" t="s">
        <v>15</v>
      </c>
      <c r="B2626" s="2" t="str">
        <f>"FES1162770816"</f>
        <v>FES1162770816</v>
      </c>
      <c r="C2626" s="2" t="s">
        <v>1513</v>
      </c>
      <c r="D2626" s="2">
        <v>1</v>
      </c>
      <c r="E2626" s="2" t="str">
        <f>"2170756606"</f>
        <v>2170756606</v>
      </c>
      <c r="F2626" s="2" t="s">
        <v>17</v>
      </c>
      <c r="G2626" s="2" t="s">
        <v>18</v>
      </c>
      <c r="H2626" s="2" t="s">
        <v>18</v>
      </c>
      <c r="I2626" s="2" t="s">
        <v>65</v>
      </c>
      <c r="J2626" s="2" t="s">
        <v>66</v>
      </c>
      <c r="K2626" s="2" t="s">
        <v>1762</v>
      </c>
      <c r="L2626" s="3">
        <v>0.33611111111111108</v>
      </c>
      <c r="M2626" s="2" t="s">
        <v>1867</v>
      </c>
      <c r="N2626" s="2" t="s">
        <v>500</v>
      </c>
      <c r="O2626" s="2"/>
    </row>
    <row r="2627" spans="1:15" x14ac:dyDescent="0.25">
      <c r="A2627" s="2" t="s">
        <v>15</v>
      </c>
      <c r="B2627" s="2" t="str">
        <f>"FES1162770719"</f>
        <v>FES1162770719</v>
      </c>
      <c r="C2627" s="2" t="s">
        <v>1513</v>
      </c>
      <c r="D2627" s="2">
        <v>1</v>
      </c>
      <c r="E2627" s="2" t="str">
        <f>"2170755962"</f>
        <v>2170755962</v>
      </c>
      <c r="F2627" s="2" t="s">
        <v>17</v>
      </c>
      <c r="G2627" s="2" t="s">
        <v>18</v>
      </c>
      <c r="H2627" s="2" t="s">
        <v>36</v>
      </c>
      <c r="I2627" s="2" t="s">
        <v>67</v>
      </c>
      <c r="J2627" s="2" t="s">
        <v>650</v>
      </c>
      <c r="K2627" s="2" t="s">
        <v>1762</v>
      </c>
      <c r="L2627" s="3">
        <v>0.38055555555555554</v>
      </c>
      <c r="M2627" s="2" t="s">
        <v>1844</v>
      </c>
      <c r="N2627" s="2" t="s">
        <v>500</v>
      </c>
      <c r="O2627" s="2"/>
    </row>
    <row r="2628" spans="1:15" x14ac:dyDescent="0.25">
      <c r="A2628" s="2" t="s">
        <v>15</v>
      </c>
      <c r="B2628" s="2" t="str">
        <f>"FES1162770693"</f>
        <v>FES1162770693</v>
      </c>
      <c r="C2628" s="2" t="s">
        <v>1513</v>
      </c>
      <c r="D2628" s="2">
        <v>1</v>
      </c>
      <c r="E2628" s="2" t="str">
        <f>"2170757955"</f>
        <v>2170757955</v>
      </c>
      <c r="F2628" s="2" t="s">
        <v>17</v>
      </c>
      <c r="G2628" s="2" t="s">
        <v>18</v>
      </c>
      <c r="H2628" s="2" t="s">
        <v>19</v>
      </c>
      <c r="I2628" s="2" t="s">
        <v>20</v>
      </c>
      <c r="J2628" s="2" t="s">
        <v>327</v>
      </c>
      <c r="K2628" s="2" t="s">
        <v>1762</v>
      </c>
      <c r="L2628" s="3">
        <v>0.4375</v>
      </c>
      <c r="M2628" s="2" t="s">
        <v>1882</v>
      </c>
      <c r="N2628" s="2" t="s">
        <v>500</v>
      </c>
      <c r="O2628" s="2"/>
    </row>
    <row r="2629" spans="1:15" x14ac:dyDescent="0.25">
      <c r="A2629" s="2" t="s">
        <v>15</v>
      </c>
      <c r="B2629" s="2" t="str">
        <f>"FES1162770752"</f>
        <v>FES1162770752</v>
      </c>
      <c r="C2629" s="2" t="s">
        <v>1513</v>
      </c>
      <c r="D2629" s="2">
        <v>1</v>
      </c>
      <c r="E2629" s="2" t="str">
        <f>"2170757604"</f>
        <v>2170757604</v>
      </c>
      <c r="F2629" s="2" t="s">
        <v>17</v>
      </c>
      <c r="G2629" s="2" t="s">
        <v>18</v>
      </c>
      <c r="H2629" s="2" t="s">
        <v>19</v>
      </c>
      <c r="I2629" s="2" t="s">
        <v>114</v>
      </c>
      <c r="J2629" s="2" t="s">
        <v>66</v>
      </c>
      <c r="K2629" s="2" t="s">
        <v>1762</v>
      </c>
      <c r="L2629" s="3">
        <v>0.60625000000000007</v>
      </c>
      <c r="M2629" s="2" t="s">
        <v>267</v>
      </c>
      <c r="N2629" s="2" t="s">
        <v>500</v>
      </c>
      <c r="O2629" s="2"/>
    </row>
    <row r="2630" spans="1:15" x14ac:dyDescent="0.25">
      <c r="A2630" s="2" t="s">
        <v>15</v>
      </c>
      <c r="B2630" s="2" t="str">
        <f>"FES1162770852"</f>
        <v>FES1162770852</v>
      </c>
      <c r="C2630" s="2" t="s">
        <v>1513</v>
      </c>
      <c r="D2630" s="2">
        <v>1</v>
      </c>
      <c r="E2630" s="2" t="str">
        <f>"2170756068"</f>
        <v>2170756068</v>
      </c>
      <c r="F2630" s="2" t="s">
        <v>17</v>
      </c>
      <c r="G2630" s="2" t="s">
        <v>18</v>
      </c>
      <c r="H2630" s="2" t="s">
        <v>25</v>
      </c>
      <c r="I2630" s="2" t="s">
        <v>26</v>
      </c>
      <c r="J2630" s="2" t="s">
        <v>27</v>
      </c>
      <c r="K2630" s="2" t="s">
        <v>1762</v>
      </c>
      <c r="L2630" s="3">
        <v>0.41666666666666669</v>
      </c>
      <c r="M2630" s="2" t="s">
        <v>521</v>
      </c>
      <c r="N2630" s="2" t="s">
        <v>500</v>
      </c>
      <c r="O2630" s="2"/>
    </row>
    <row r="2631" spans="1:15" x14ac:dyDescent="0.25">
      <c r="A2631" s="2" t="s">
        <v>15</v>
      </c>
      <c r="B2631" s="2" t="str">
        <f>"FES1162770755"</f>
        <v>FES1162770755</v>
      </c>
      <c r="C2631" s="2" t="s">
        <v>1513</v>
      </c>
      <c r="D2631" s="2">
        <v>1</v>
      </c>
      <c r="E2631" s="2" t="str">
        <f>"2170757783"</f>
        <v>2170757783</v>
      </c>
      <c r="F2631" s="2" t="s">
        <v>17</v>
      </c>
      <c r="G2631" s="2" t="s">
        <v>18</v>
      </c>
      <c r="H2631" s="2" t="s">
        <v>18</v>
      </c>
      <c r="I2631" s="2" t="s">
        <v>63</v>
      </c>
      <c r="J2631" s="2" t="s">
        <v>1805</v>
      </c>
      <c r="K2631" s="2" t="s">
        <v>1762</v>
      </c>
      <c r="L2631" s="3">
        <v>0.36458333333333331</v>
      </c>
      <c r="M2631" s="2" t="s">
        <v>1912</v>
      </c>
      <c r="N2631" s="2" t="s">
        <v>500</v>
      </c>
      <c r="O2631" s="2"/>
    </row>
    <row r="2632" spans="1:15" x14ac:dyDescent="0.25">
      <c r="A2632" s="2" t="s">
        <v>15</v>
      </c>
      <c r="B2632" s="2" t="str">
        <f>"FES1162770992"</f>
        <v>FES1162770992</v>
      </c>
      <c r="C2632" s="2" t="s">
        <v>1513</v>
      </c>
      <c r="D2632" s="2">
        <v>1</v>
      </c>
      <c r="E2632" s="2" t="str">
        <f>"2170753285"</f>
        <v>2170753285</v>
      </c>
      <c r="F2632" s="2" t="s">
        <v>17</v>
      </c>
      <c r="G2632" s="2" t="s">
        <v>18</v>
      </c>
      <c r="H2632" s="2" t="s">
        <v>36</v>
      </c>
      <c r="I2632" s="2" t="s">
        <v>37</v>
      </c>
      <c r="J2632" s="2" t="s">
        <v>162</v>
      </c>
      <c r="K2632" s="2" t="s">
        <v>1762</v>
      </c>
      <c r="L2632" s="3">
        <v>0.36319444444444443</v>
      </c>
      <c r="M2632" s="2" t="s">
        <v>1066</v>
      </c>
      <c r="N2632" s="2" t="s">
        <v>500</v>
      </c>
      <c r="O2632" s="2"/>
    </row>
    <row r="2633" spans="1:15" x14ac:dyDescent="0.25">
      <c r="A2633" s="2" t="s">
        <v>15</v>
      </c>
      <c r="B2633" s="2" t="str">
        <f>"FES1162770726"</f>
        <v>FES1162770726</v>
      </c>
      <c r="C2633" s="2" t="s">
        <v>1513</v>
      </c>
      <c r="D2633" s="2">
        <v>1</v>
      </c>
      <c r="E2633" s="2" t="str">
        <f>"2170755997"</f>
        <v>2170755997</v>
      </c>
      <c r="F2633" s="2" t="s">
        <v>17</v>
      </c>
      <c r="G2633" s="2" t="s">
        <v>18</v>
      </c>
      <c r="H2633" s="2" t="s">
        <v>18</v>
      </c>
      <c r="I2633" s="2" t="s">
        <v>65</v>
      </c>
      <c r="J2633" s="2" t="s">
        <v>66</v>
      </c>
      <c r="K2633" s="2" t="s">
        <v>1762</v>
      </c>
      <c r="L2633" s="3">
        <v>0.33611111111111108</v>
      </c>
      <c r="M2633" s="2" t="s">
        <v>1867</v>
      </c>
      <c r="N2633" s="2" t="s">
        <v>500</v>
      </c>
      <c r="O2633" s="2"/>
    </row>
    <row r="2634" spans="1:15" x14ac:dyDescent="0.25">
      <c r="A2634" s="2" t="s">
        <v>15</v>
      </c>
      <c r="B2634" s="2" t="str">
        <f>"FES1162770729"</f>
        <v>FES1162770729</v>
      </c>
      <c r="C2634" s="2" t="s">
        <v>1513</v>
      </c>
      <c r="D2634" s="2">
        <v>1</v>
      </c>
      <c r="E2634" s="2" t="str">
        <f>"2170756023"</f>
        <v>2170756023</v>
      </c>
      <c r="F2634" s="2" t="s">
        <v>17</v>
      </c>
      <c r="G2634" s="2" t="s">
        <v>18</v>
      </c>
      <c r="H2634" s="2" t="s">
        <v>33</v>
      </c>
      <c r="I2634" s="2" t="s">
        <v>34</v>
      </c>
      <c r="J2634" s="2" t="s">
        <v>152</v>
      </c>
      <c r="K2634" s="2" t="s">
        <v>1762</v>
      </c>
      <c r="L2634" s="3">
        <v>0.43333333333333335</v>
      </c>
      <c r="M2634" s="2" t="s">
        <v>1913</v>
      </c>
      <c r="N2634" s="2" t="s">
        <v>500</v>
      </c>
      <c r="O2634" s="2"/>
    </row>
    <row r="2635" spans="1:15" x14ac:dyDescent="0.25">
      <c r="A2635" s="2" t="s">
        <v>15</v>
      </c>
      <c r="B2635" s="2" t="str">
        <f>"FES1162770809"</f>
        <v>FES1162770809</v>
      </c>
      <c r="C2635" s="2" t="s">
        <v>1513</v>
      </c>
      <c r="D2635" s="2">
        <v>1</v>
      </c>
      <c r="E2635" s="2" t="str">
        <f>"2170756507"</f>
        <v>2170756507</v>
      </c>
      <c r="F2635" s="2" t="s">
        <v>17</v>
      </c>
      <c r="G2635" s="2" t="s">
        <v>18</v>
      </c>
      <c r="H2635" s="2" t="s">
        <v>30</v>
      </c>
      <c r="I2635" s="2" t="s">
        <v>444</v>
      </c>
      <c r="J2635" s="2" t="s">
        <v>445</v>
      </c>
      <c r="K2635" s="2" t="s">
        <v>1762</v>
      </c>
      <c r="L2635" s="3">
        <v>0.45833333333333331</v>
      </c>
      <c r="M2635" s="2" t="s">
        <v>1914</v>
      </c>
      <c r="N2635" s="2" t="s">
        <v>500</v>
      </c>
      <c r="O2635" s="2"/>
    </row>
    <row r="2636" spans="1:15" x14ac:dyDescent="0.25">
      <c r="A2636" s="2" t="s">
        <v>15</v>
      </c>
      <c r="B2636" s="2" t="str">
        <f>"FES1162770710"</f>
        <v>FES1162770710</v>
      </c>
      <c r="C2636" s="2" t="s">
        <v>1513</v>
      </c>
      <c r="D2636" s="2">
        <v>1</v>
      </c>
      <c r="E2636" s="2" t="str">
        <f>"2170755880"</f>
        <v>2170755880</v>
      </c>
      <c r="F2636" s="2" t="s">
        <v>17</v>
      </c>
      <c r="G2636" s="2" t="s">
        <v>18</v>
      </c>
      <c r="H2636" s="2" t="s">
        <v>36</v>
      </c>
      <c r="I2636" s="2" t="s">
        <v>37</v>
      </c>
      <c r="J2636" s="2" t="s">
        <v>55</v>
      </c>
      <c r="K2636" s="2" t="s">
        <v>1762</v>
      </c>
      <c r="L2636" s="3">
        <v>0.34722222222222227</v>
      </c>
      <c r="M2636" s="2" t="s">
        <v>1683</v>
      </c>
      <c r="N2636" s="2" t="s">
        <v>500</v>
      </c>
      <c r="O2636" s="2"/>
    </row>
    <row r="2637" spans="1:15" x14ac:dyDescent="0.25">
      <c r="A2637" s="2" t="s">
        <v>15</v>
      </c>
      <c r="B2637" s="2" t="str">
        <f>"FES1162770900"</f>
        <v>FES1162770900</v>
      </c>
      <c r="C2637" s="2" t="s">
        <v>1513</v>
      </c>
      <c r="D2637" s="2">
        <v>1</v>
      </c>
      <c r="E2637" s="2" t="str">
        <f>"2170757624"</f>
        <v>2170757624</v>
      </c>
      <c r="F2637" s="2" t="s">
        <v>17</v>
      </c>
      <c r="G2637" s="2" t="s">
        <v>18</v>
      </c>
      <c r="H2637" s="2" t="s">
        <v>19</v>
      </c>
      <c r="I2637" s="2" t="s">
        <v>20</v>
      </c>
      <c r="J2637" s="2" t="s">
        <v>21</v>
      </c>
      <c r="K2637" s="2" t="s">
        <v>1762</v>
      </c>
      <c r="L2637" s="3">
        <v>0.4375</v>
      </c>
      <c r="M2637" s="2" t="s">
        <v>1733</v>
      </c>
      <c r="N2637" s="2" t="s">
        <v>500</v>
      </c>
      <c r="O2637" s="2"/>
    </row>
    <row r="2638" spans="1:15" x14ac:dyDescent="0.25">
      <c r="A2638" s="2" t="s">
        <v>15</v>
      </c>
      <c r="B2638" s="2" t="str">
        <f>"FES1162770960"</f>
        <v>FES1162770960</v>
      </c>
      <c r="C2638" s="2" t="s">
        <v>1513</v>
      </c>
      <c r="D2638" s="2">
        <v>1</v>
      </c>
      <c r="E2638" s="2" t="str">
        <f>"2170757382"</f>
        <v>2170757382</v>
      </c>
      <c r="F2638" s="2" t="s">
        <v>17</v>
      </c>
      <c r="G2638" s="2" t="s">
        <v>18</v>
      </c>
      <c r="H2638" s="2" t="s">
        <v>18</v>
      </c>
      <c r="I2638" s="2" t="s">
        <v>46</v>
      </c>
      <c r="J2638" s="2" t="s">
        <v>124</v>
      </c>
      <c r="K2638" s="2" t="s">
        <v>1762</v>
      </c>
      <c r="L2638" s="3">
        <v>0.41666666666666669</v>
      </c>
      <c r="M2638" s="2" t="s">
        <v>354</v>
      </c>
      <c r="N2638" s="2" t="s">
        <v>500</v>
      </c>
      <c r="O2638" s="2"/>
    </row>
    <row r="2639" spans="1:15" x14ac:dyDescent="0.25">
      <c r="A2639" s="2" t="s">
        <v>15</v>
      </c>
      <c r="B2639" s="2" t="str">
        <f>"FES1162770907"</f>
        <v>FES1162770907</v>
      </c>
      <c r="C2639" s="2" t="s">
        <v>1513</v>
      </c>
      <c r="D2639" s="2">
        <v>1</v>
      </c>
      <c r="E2639" s="2" t="str">
        <f>"2170757857"</f>
        <v>2170757857</v>
      </c>
      <c r="F2639" s="2" t="s">
        <v>17</v>
      </c>
      <c r="G2639" s="2" t="s">
        <v>18</v>
      </c>
      <c r="H2639" s="2" t="s">
        <v>19</v>
      </c>
      <c r="I2639" s="2" t="s">
        <v>20</v>
      </c>
      <c r="J2639" s="2" t="s">
        <v>482</v>
      </c>
      <c r="K2639" s="2" t="s">
        <v>1762</v>
      </c>
      <c r="L2639" s="3">
        <v>0.4375</v>
      </c>
      <c r="M2639" s="2" t="s">
        <v>1892</v>
      </c>
      <c r="N2639" s="2" t="s">
        <v>500</v>
      </c>
      <c r="O2639" s="2"/>
    </row>
    <row r="2640" spans="1:15" x14ac:dyDescent="0.25">
      <c r="A2640" s="2" t="s">
        <v>15</v>
      </c>
      <c r="B2640" s="2" t="str">
        <f>"FES1162770945"</f>
        <v>FES1162770945</v>
      </c>
      <c r="C2640" s="2" t="s">
        <v>1513</v>
      </c>
      <c r="D2640" s="2">
        <v>1</v>
      </c>
      <c r="E2640" s="2" t="str">
        <f>"2170758066"</f>
        <v>2170758066</v>
      </c>
      <c r="F2640" s="2" t="s">
        <v>17</v>
      </c>
      <c r="G2640" s="2" t="s">
        <v>18</v>
      </c>
      <c r="H2640" s="2" t="s">
        <v>78</v>
      </c>
      <c r="I2640" s="2" t="s">
        <v>79</v>
      </c>
      <c r="J2640" s="2" t="s">
        <v>113</v>
      </c>
      <c r="K2640" s="2" t="s">
        <v>1762</v>
      </c>
      <c r="L2640" s="3">
        <v>0.3888888888888889</v>
      </c>
      <c r="M2640" s="2" t="s">
        <v>1915</v>
      </c>
      <c r="N2640" s="2" t="s">
        <v>500</v>
      </c>
      <c r="O2640" s="2"/>
    </row>
    <row r="2641" spans="1:15" x14ac:dyDescent="0.25">
      <c r="A2641" s="2" t="s">
        <v>15</v>
      </c>
      <c r="B2641" s="2" t="str">
        <f>"FES1162770911"</f>
        <v>FES1162770911</v>
      </c>
      <c r="C2641" s="2" t="s">
        <v>1513</v>
      </c>
      <c r="D2641" s="2">
        <v>1</v>
      </c>
      <c r="E2641" s="2" t="str">
        <f>"2170758019"</f>
        <v>2170758019</v>
      </c>
      <c r="F2641" s="2" t="s">
        <v>17</v>
      </c>
      <c r="G2641" s="2" t="s">
        <v>18</v>
      </c>
      <c r="H2641" s="2" t="s">
        <v>25</v>
      </c>
      <c r="I2641" s="2" t="s">
        <v>26</v>
      </c>
      <c r="J2641" s="2" t="s">
        <v>1146</v>
      </c>
      <c r="K2641" s="2" t="s">
        <v>1762</v>
      </c>
      <c r="L2641" s="3">
        <v>0.41666666666666669</v>
      </c>
      <c r="M2641" s="2" t="s">
        <v>1209</v>
      </c>
      <c r="N2641" s="2" t="s">
        <v>500</v>
      </c>
      <c r="O2641" s="2"/>
    </row>
    <row r="2642" spans="1:15" x14ac:dyDescent="0.25">
      <c r="A2642" s="2" t="s">
        <v>15</v>
      </c>
      <c r="B2642" s="2" t="str">
        <f>"FES1162770989"</f>
        <v>FES1162770989</v>
      </c>
      <c r="C2642" s="2" t="s">
        <v>1513</v>
      </c>
      <c r="D2642" s="2">
        <v>1</v>
      </c>
      <c r="E2642" s="2" t="str">
        <f>"2170758132"</f>
        <v>2170758132</v>
      </c>
      <c r="F2642" s="2" t="s">
        <v>17</v>
      </c>
      <c r="G2642" s="2" t="s">
        <v>18</v>
      </c>
      <c r="H2642" s="2" t="s">
        <v>25</v>
      </c>
      <c r="I2642" s="2" t="s">
        <v>39</v>
      </c>
      <c r="J2642" s="2" t="s">
        <v>161</v>
      </c>
      <c r="K2642" s="2" t="s">
        <v>1762</v>
      </c>
      <c r="L2642" s="3">
        <v>0.5493055555555556</v>
      </c>
      <c r="M2642" s="2" t="s">
        <v>1256</v>
      </c>
      <c r="N2642" s="2" t="s">
        <v>500</v>
      </c>
      <c r="O2642" s="2"/>
    </row>
    <row r="2643" spans="1:15" x14ac:dyDescent="0.25">
      <c r="A2643" s="2" t="s">
        <v>15</v>
      </c>
      <c r="B2643" s="2" t="str">
        <f>"FES1162770983"</f>
        <v>FES1162770983</v>
      </c>
      <c r="C2643" s="2" t="s">
        <v>1513</v>
      </c>
      <c r="D2643" s="2">
        <v>1</v>
      </c>
      <c r="E2643" s="2" t="str">
        <f>"2170758126"</f>
        <v>2170758126</v>
      </c>
      <c r="F2643" s="2" t="s">
        <v>17</v>
      </c>
      <c r="G2643" s="2" t="s">
        <v>18</v>
      </c>
      <c r="H2643" s="2" t="s">
        <v>25</v>
      </c>
      <c r="I2643" s="2" t="s">
        <v>26</v>
      </c>
      <c r="J2643" s="2" t="s">
        <v>353</v>
      </c>
      <c r="K2643" s="2" t="s">
        <v>1762</v>
      </c>
      <c r="L2643" s="3">
        <v>0.41666666666666669</v>
      </c>
      <c r="M2643" s="2" t="s">
        <v>1916</v>
      </c>
      <c r="N2643" s="2" t="s">
        <v>500</v>
      </c>
      <c r="O2643" s="2"/>
    </row>
    <row r="2644" spans="1:15" x14ac:dyDescent="0.25">
      <c r="A2644" s="2" t="s">
        <v>15</v>
      </c>
      <c r="B2644" s="2" t="str">
        <f>"FES1162770963"</f>
        <v>FES1162770963</v>
      </c>
      <c r="C2644" s="2" t="s">
        <v>1513</v>
      </c>
      <c r="D2644" s="2">
        <v>1</v>
      </c>
      <c r="E2644" s="2" t="str">
        <f>"2170757957"</f>
        <v>2170757957</v>
      </c>
      <c r="F2644" s="2" t="s">
        <v>17</v>
      </c>
      <c r="G2644" s="2" t="s">
        <v>18</v>
      </c>
      <c r="H2644" s="2" t="s">
        <v>25</v>
      </c>
      <c r="I2644" s="2" t="s">
        <v>26</v>
      </c>
      <c r="J2644" s="2" t="s">
        <v>127</v>
      </c>
      <c r="K2644" s="2" t="s">
        <v>1762</v>
      </c>
      <c r="L2644" s="3">
        <v>0.3923611111111111</v>
      </c>
      <c r="M2644" s="2" t="s">
        <v>1866</v>
      </c>
      <c r="N2644" s="2" t="s">
        <v>500</v>
      </c>
      <c r="O2644" s="2"/>
    </row>
    <row r="2645" spans="1:15" x14ac:dyDescent="0.25">
      <c r="A2645" s="2" t="s">
        <v>15</v>
      </c>
      <c r="B2645" s="2" t="str">
        <f>"FES1162770943"</f>
        <v>FES1162770943</v>
      </c>
      <c r="C2645" s="2" t="s">
        <v>1513</v>
      </c>
      <c r="D2645" s="2">
        <v>2</v>
      </c>
      <c r="E2645" s="2" t="str">
        <f>"2170754631"</f>
        <v>2170754631</v>
      </c>
      <c r="F2645" s="2" t="s">
        <v>205</v>
      </c>
      <c r="G2645" s="2" t="s">
        <v>206</v>
      </c>
      <c r="H2645" s="2" t="s">
        <v>25</v>
      </c>
      <c r="I2645" s="2" t="s">
        <v>39</v>
      </c>
      <c r="J2645" s="2" t="s">
        <v>40</v>
      </c>
      <c r="K2645" s="2" t="s">
        <v>1969</v>
      </c>
      <c r="L2645" s="3">
        <v>0.43055555555555558</v>
      </c>
      <c r="M2645" s="2" t="s">
        <v>326</v>
      </c>
      <c r="N2645" s="2" t="s">
        <v>500</v>
      </c>
      <c r="O2645" s="2"/>
    </row>
    <row r="2646" spans="1:15" x14ac:dyDescent="0.25">
      <c r="A2646" s="2" t="s">
        <v>15</v>
      </c>
      <c r="B2646" s="2" t="str">
        <f>"FES1162770969"</f>
        <v>FES1162770969</v>
      </c>
      <c r="C2646" s="2" t="s">
        <v>1513</v>
      </c>
      <c r="D2646" s="2">
        <v>1</v>
      </c>
      <c r="E2646" s="2" t="str">
        <f>"2170758104"</f>
        <v>2170758104</v>
      </c>
      <c r="F2646" s="2" t="s">
        <v>17</v>
      </c>
      <c r="G2646" s="2" t="s">
        <v>18</v>
      </c>
      <c r="H2646" s="2" t="s">
        <v>25</v>
      </c>
      <c r="I2646" s="2" t="s">
        <v>125</v>
      </c>
      <c r="J2646" s="2" t="s">
        <v>126</v>
      </c>
      <c r="K2646" s="2" t="s">
        <v>1762</v>
      </c>
      <c r="L2646" s="3">
        <v>0.56180555555555556</v>
      </c>
      <c r="M2646" s="2" t="s">
        <v>1970</v>
      </c>
      <c r="N2646" s="2" t="s">
        <v>500</v>
      </c>
      <c r="O2646" s="2"/>
    </row>
    <row r="2647" spans="1:15" x14ac:dyDescent="0.25">
      <c r="A2647" s="2" t="s">
        <v>15</v>
      </c>
      <c r="B2647" s="2" t="str">
        <f>"FES1162770903"</f>
        <v>FES1162770903</v>
      </c>
      <c r="C2647" s="2" t="s">
        <v>1513</v>
      </c>
      <c r="D2647" s="2">
        <v>1</v>
      </c>
      <c r="E2647" s="2" t="str">
        <f>"2170758009"</f>
        <v>2170758009</v>
      </c>
      <c r="F2647" s="2" t="s">
        <v>17</v>
      </c>
      <c r="G2647" s="2" t="s">
        <v>18</v>
      </c>
      <c r="H2647" s="2" t="s">
        <v>25</v>
      </c>
      <c r="I2647" s="2" t="s">
        <v>26</v>
      </c>
      <c r="J2647" s="2" t="s">
        <v>1118</v>
      </c>
      <c r="K2647" s="2" t="s">
        <v>1762</v>
      </c>
      <c r="L2647" s="3">
        <v>0.39027777777777778</v>
      </c>
      <c r="M2647" s="2" t="s">
        <v>1917</v>
      </c>
      <c r="N2647" s="2" t="s">
        <v>500</v>
      </c>
      <c r="O2647" s="2"/>
    </row>
    <row r="2648" spans="1:15" x14ac:dyDescent="0.25">
      <c r="A2648" s="2" t="s">
        <v>15</v>
      </c>
      <c r="B2648" s="2" t="str">
        <f>"FES1162770909"</f>
        <v>FES1162770909</v>
      </c>
      <c r="C2648" s="2" t="s">
        <v>1513</v>
      </c>
      <c r="D2648" s="2">
        <v>1</v>
      </c>
      <c r="E2648" s="2" t="str">
        <f>"2170758017"</f>
        <v>2170758017</v>
      </c>
      <c r="F2648" s="2" t="s">
        <v>17</v>
      </c>
      <c r="G2648" s="2" t="s">
        <v>18</v>
      </c>
      <c r="H2648" s="2" t="s">
        <v>25</v>
      </c>
      <c r="I2648" s="2" t="s">
        <v>42</v>
      </c>
      <c r="J2648" s="2" t="s">
        <v>639</v>
      </c>
      <c r="K2648" s="2" t="s">
        <v>1762</v>
      </c>
      <c r="L2648" s="3">
        <v>0.46666666666666662</v>
      </c>
      <c r="M2648" s="2" t="s">
        <v>1918</v>
      </c>
      <c r="N2648" s="2" t="s">
        <v>500</v>
      </c>
      <c r="O2648" s="2"/>
    </row>
    <row r="2649" spans="1:15" x14ac:dyDescent="0.25">
      <c r="A2649" s="2" t="s">
        <v>15</v>
      </c>
      <c r="B2649" s="2" t="str">
        <f>"FES1162770910"</f>
        <v>FES1162770910</v>
      </c>
      <c r="C2649" s="2" t="s">
        <v>1513</v>
      </c>
      <c r="D2649" s="2">
        <v>1</v>
      </c>
      <c r="E2649" s="2" t="str">
        <f>"2170758018"</f>
        <v>2170758018</v>
      </c>
      <c r="F2649" s="2" t="s">
        <v>17</v>
      </c>
      <c r="G2649" s="2" t="s">
        <v>18</v>
      </c>
      <c r="H2649" s="2" t="s">
        <v>19</v>
      </c>
      <c r="I2649" s="2" t="s">
        <v>20</v>
      </c>
      <c r="J2649" s="2" t="s">
        <v>123</v>
      </c>
      <c r="K2649" s="2" t="s">
        <v>1762</v>
      </c>
      <c r="L2649" s="3">
        <v>0.4375</v>
      </c>
      <c r="M2649" s="2" t="s">
        <v>1722</v>
      </c>
      <c r="N2649" s="2" t="s">
        <v>500</v>
      </c>
      <c r="O2649" s="2"/>
    </row>
    <row r="2650" spans="1:15" x14ac:dyDescent="0.25">
      <c r="A2650" s="2" t="s">
        <v>15</v>
      </c>
      <c r="B2650" s="2" t="str">
        <f>"FES1162770944"</f>
        <v>FES1162770944</v>
      </c>
      <c r="C2650" s="2" t="s">
        <v>1513</v>
      </c>
      <c r="D2650" s="2">
        <v>1</v>
      </c>
      <c r="E2650" s="2" t="str">
        <f>"2170753465"</f>
        <v>2170753465</v>
      </c>
      <c r="F2650" s="2" t="s">
        <v>17</v>
      </c>
      <c r="G2650" s="2" t="s">
        <v>18</v>
      </c>
      <c r="H2650" s="2" t="s">
        <v>25</v>
      </c>
      <c r="I2650" s="2" t="s">
        <v>39</v>
      </c>
      <c r="J2650" s="2" t="s">
        <v>40</v>
      </c>
      <c r="K2650" s="2" t="s">
        <v>1762</v>
      </c>
      <c r="L2650" s="3">
        <v>0.47013888888888888</v>
      </c>
      <c r="M2650" s="2" t="s">
        <v>1965</v>
      </c>
      <c r="N2650" s="2" t="s">
        <v>500</v>
      </c>
      <c r="O2650" s="2"/>
    </row>
    <row r="2651" spans="1:15" x14ac:dyDescent="0.25">
      <c r="A2651" s="2" t="s">
        <v>15</v>
      </c>
      <c r="B2651" s="2" t="str">
        <f>"FES1162770815"</f>
        <v>FES1162770815</v>
      </c>
      <c r="C2651" s="2" t="s">
        <v>1513</v>
      </c>
      <c r="D2651" s="2">
        <v>1</v>
      </c>
      <c r="E2651" s="2" t="str">
        <f>"2170756596"</f>
        <v>2170756596</v>
      </c>
      <c r="F2651" s="2" t="s">
        <v>17</v>
      </c>
      <c r="G2651" s="2" t="s">
        <v>18</v>
      </c>
      <c r="H2651" s="2" t="s">
        <v>18</v>
      </c>
      <c r="I2651" s="2" t="s">
        <v>57</v>
      </c>
      <c r="J2651" s="2" t="s">
        <v>91</v>
      </c>
      <c r="K2651" s="2" t="s">
        <v>1762</v>
      </c>
      <c r="L2651" s="3">
        <v>0.28541666666666665</v>
      </c>
      <c r="M2651" s="2" t="s">
        <v>1919</v>
      </c>
      <c r="N2651" s="2" t="s">
        <v>500</v>
      </c>
      <c r="O2651" s="2"/>
    </row>
    <row r="2652" spans="1:15" x14ac:dyDescent="0.25">
      <c r="A2652" s="2" t="s">
        <v>15</v>
      </c>
      <c r="B2652" s="2" t="str">
        <f>"FES1162770959"</f>
        <v>FES1162770959</v>
      </c>
      <c r="C2652" s="2" t="s">
        <v>1513</v>
      </c>
      <c r="D2652" s="2">
        <v>1</v>
      </c>
      <c r="E2652" s="2" t="str">
        <f>"2170756946"</f>
        <v>2170756946</v>
      </c>
      <c r="F2652" s="2" t="s">
        <v>17</v>
      </c>
      <c r="G2652" s="2" t="s">
        <v>18</v>
      </c>
      <c r="H2652" s="2" t="s">
        <v>25</v>
      </c>
      <c r="I2652" s="2" t="s">
        <v>26</v>
      </c>
      <c r="J2652" s="2" t="s">
        <v>75</v>
      </c>
      <c r="K2652" s="2" t="s">
        <v>1762</v>
      </c>
      <c r="L2652" s="3">
        <v>0.41666666666666669</v>
      </c>
      <c r="M2652" s="2" t="s">
        <v>1865</v>
      </c>
      <c r="N2652" s="2" t="s">
        <v>500</v>
      </c>
      <c r="O2652" s="2"/>
    </row>
    <row r="2653" spans="1:15" x14ac:dyDescent="0.25">
      <c r="A2653" s="2" t="s">
        <v>15</v>
      </c>
      <c r="B2653" s="2" t="str">
        <f>"FES1162770879"</f>
        <v>FES1162770879</v>
      </c>
      <c r="C2653" s="2" t="s">
        <v>1513</v>
      </c>
      <c r="D2653" s="2">
        <v>1</v>
      </c>
      <c r="E2653" s="2" t="str">
        <f>"2170757992"</f>
        <v>2170757992</v>
      </c>
      <c r="F2653" s="2" t="s">
        <v>17</v>
      </c>
      <c r="G2653" s="2" t="s">
        <v>18</v>
      </c>
      <c r="H2653" s="2" t="s">
        <v>18</v>
      </c>
      <c r="I2653" s="2" t="s">
        <v>63</v>
      </c>
      <c r="J2653" s="2" t="s">
        <v>421</v>
      </c>
      <c r="K2653" s="2" t="s">
        <v>1762</v>
      </c>
      <c r="L2653" s="3">
        <v>0.375</v>
      </c>
      <c r="M2653" s="2" t="s">
        <v>354</v>
      </c>
      <c r="N2653" s="2" t="s">
        <v>500</v>
      </c>
      <c r="O2653" s="2"/>
    </row>
    <row r="2654" spans="1:15" x14ac:dyDescent="0.25">
      <c r="A2654" s="2" t="s">
        <v>15</v>
      </c>
      <c r="B2654" s="2" t="str">
        <f>"FES1162770995"</f>
        <v>FES1162770995</v>
      </c>
      <c r="C2654" s="2" t="s">
        <v>1513</v>
      </c>
      <c r="D2654" s="2">
        <v>1</v>
      </c>
      <c r="E2654" s="2" t="str">
        <f>"2170758138"</f>
        <v>2170758138</v>
      </c>
      <c r="F2654" s="2" t="s">
        <v>17</v>
      </c>
      <c r="G2654" s="2" t="s">
        <v>18</v>
      </c>
      <c r="H2654" s="2" t="s">
        <v>36</v>
      </c>
      <c r="I2654" s="2" t="s">
        <v>37</v>
      </c>
      <c r="J2654" s="2" t="s">
        <v>102</v>
      </c>
      <c r="K2654" s="2" t="s">
        <v>1762</v>
      </c>
      <c r="L2654" s="3">
        <v>0.39861111111111108</v>
      </c>
      <c r="M2654" s="2" t="s">
        <v>1872</v>
      </c>
      <c r="N2654" s="2" t="s">
        <v>500</v>
      </c>
      <c r="O2654" s="2"/>
    </row>
    <row r="2655" spans="1:15" x14ac:dyDescent="0.25">
      <c r="A2655" s="2" t="s">
        <v>15</v>
      </c>
      <c r="B2655" s="2" t="str">
        <f>"FES1162770988"</f>
        <v>FES1162770988</v>
      </c>
      <c r="C2655" s="2" t="s">
        <v>1513</v>
      </c>
      <c r="D2655" s="2">
        <v>1</v>
      </c>
      <c r="E2655" s="2" t="str">
        <f>"2170758130"</f>
        <v>2170758130</v>
      </c>
      <c r="F2655" s="2" t="s">
        <v>17</v>
      </c>
      <c r="G2655" s="2" t="s">
        <v>18</v>
      </c>
      <c r="H2655" s="2" t="s">
        <v>30</v>
      </c>
      <c r="I2655" s="2" t="s">
        <v>444</v>
      </c>
      <c r="J2655" s="2" t="s">
        <v>488</v>
      </c>
      <c r="K2655" s="2" t="s">
        <v>1762</v>
      </c>
      <c r="L2655" s="3">
        <v>0.45833333333333331</v>
      </c>
      <c r="M2655" s="2" t="s">
        <v>1914</v>
      </c>
      <c r="N2655" s="2" t="s">
        <v>500</v>
      </c>
      <c r="O2655" s="2"/>
    </row>
    <row r="2656" spans="1:15" x14ac:dyDescent="0.25">
      <c r="A2656" s="2" t="s">
        <v>15</v>
      </c>
      <c r="B2656" s="2" t="str">
        <f>"FES1162770908"</f>
        <v>FES1162770908</v>
      </c>
      <c r="C2656" s="2" t="s">
        <v>1513</v>
      </c>
      <c r="D2656" s="2">
        <v>1</v>
      </c>
      <c r="E2656" s="2" t="str">
        <f>"2170758012"</f>
        <v>2170758012</v>
      </c>
      <c r="F2656" s="2" t="s">
        <v>17</v>
      </c>
      <c r="G2656" s="2" t="s">
        <v>18</v>
      </c>
      <c r="H2656" s="2" t="s">
        <v>25</v>
      </c>
      <c r="I2656" s="2" t="s">
        <v>26</v>
      </c>
      <c r="J2656" s="2" t="s">
        <v>27</v>
      </c>
      <c r="K2656" s="2" t="s">
        <v>1762</v>
      </c>
      <c r="L2656" s="3">
        <v>0.41666666666666669</v>
      </c>
      <c r="M2656" s="2" t="s">
        <v>521</v>
      </c>
      <c r="N2656" s="2" t="s">
        <v>500</v>
      </c>
      <c r="O2656" s="2"/>
    </row>
    <row r="2657" spans="1:15" x14ac:dyDescent="0.25">
      <c r="A2657" s="2" t="s">
        <v>15</v>
      </c>
      <c r="B2657" s="2" t="str">
        <f>"FES1162770619"</f>
        <v>FES1162770619</v>
      </c>
      <c r="C2657" s="2" t="s">
        <v>1513</v>
      </c>
      <c r="D2657" s="2">
        <v>1</v>
      </c>
      <c r="E2657" s="2" t="str">
        <f>"2170754539"</f>
        <v>2170754539</v>
      </c>
      <c r="F2657" s="2" t="s">
        <v>17</v>
      </c>
      <c r="G2657" s="2" t="s">
        <v>18</v>
      </c>
      <c r="H2657" s="2" t="s">
        <v>18</v>
      </c>
      <c r="I2657" s="2" t="s">
        <v>46</v>
      </c>
      <c r="J2657" s="2" t="s">
        <v>663</v>
      </c>
      <c r="K2657" s="2" t="s">
        <v>1762</v>
      </c>
      <c r="L2657" s="3">
        <v>0.33333333333333331</v>
      </c>
      <c r="M2657" s="2" t="s">
        <v>350</v>
      </c>
      <c r="N2657" s="2" t="s">
        <v>500</v>
      </c>
      <c r="O2657" s="2"/>
    </row>
    <row r="2658" spans="1:15" x14ac:dyDescent="0.25">
      <c r="A2658" s="2" t="s">
        <v>15</v>
      </c>
      <c r="B2658" s="2" t="str">
        <f>"FES1162770826"</f>
        <v>FES1162770826</v>
      </c>
      <c r="C2658" s="2" t="s">
        <v>1513</v>
      </c>
      <c r="D2658" s="2">
        <v>1</v>
      </c>
      <c r="E2658" s="2" t="str">
        <f>"2170756695"</f>
        <v>2170756695</v>
      </c>
      <c r="F2658" s="2" t="s">
        <v>17</v>
      </c>
      <c r="G2658" s="2" t="s">
        <v>18</v>
      </c>
      <c r="H2658" s="2" t="s">
        <v>18</v>
      </c>
      <c r="I2658" s="2" t="s">
        <v>290</v>
      </c>
      <c r="J2658" s="2" t="s">
        <v>1294</v>
      </c>
      <c r="K2658" s="2" t="s">
        <v>1762</v>
      </c>
      <c r="L2658" s="3">
        <v>0.4069444444444445</v>
      </c>
      <c r="M2658" s="2" t="s">
        <v>559</v>
      </c>
      <c r="N2658" s="2" t="s">
        <v>500</v>
      </c>
      <c r="O2658" s="2"/>
    </row>
    <row r="2659" spans="1:15" x14ac:dyDescent="0.25">
      <c r="A2659" s="2" t="s">
        <v>15</v>
      </c>
      <c r="B2659" s="2" t="str">
        <f>"FES1162770947"</f>
        <v>FES1162770947</v>
      </c>
      <c r="C2659" s="2" t="s">
        <v>1513</v>
      </c>
      <c r="D2659" s="2">
        <v>1</v>
      </c>
      <c r="E2659" s="2" t="str">
        <f>"2170758065"</f>
        <v>2170758065</v>
      </c>
      <c r="F2659" s="2" t="s">
        <v>17</v>
      </c>
      <c r="G2659" s="2" t="s">
        <v>18</v>
      </c>
      <c r="H2659" s="2" t="s">
        <v>18</v>
      </c>
      <c r="I2659" s="2" t="s">
        <v>57</v>
      </c>
      <c r="J2659" s="2" t="s">
        <v>1616</v>
      </c>
      <c r="K2659" s="2" t="s">
        <v>1762</v>
      </c>
      <c r="L2659" s="3">
        <v>0.32500000000000001</v>
      </c>
      <c r="M2659" s="2" t="s">
        <v>1920</v>
      </c>
      <c r="N2659" s="2" t="s">
        <v>500</v>
      </c>
      <c r="O2659" s="2"/>
    </row>
    <row r="2660" spans="1:15" x14ac:dyDescent="0.25">
      <c r="A2660" s="2" t="s">
        <v>15</v>
      </c>
      <c r="B2660" s="2" t="str">
        <f>"FES1162770720"</f>
        <v>FES1162770720</v>
      </c>
      <c r="C2660" s="2" t="s">
        <v>1513</v>
      </c>
      <c r="D2660" s="2">
        <v>1</v>
      </c>
      <c r="E2660" s="2" t="str">
        <f>"2170755964"</f>
        <v>2170755964</v>
      </c>
      <c r="F2660" s="2" t="s">
        <v>17</v>
      </c>
      <c r="G2660" s="2" t="s">
        <v>18</v>
      </c>
      <c r="H2660" s="2" t="s">
        <v>18</v>
      </c>
      <c r="I2660" s="2" t="s">
        <v>63</v>
      </c>
      <c r="J2660" s="2" t="s">
        <v>93</v>
      </c>
      <c r="K2660" s="2" t="s">
        <v>1762</v>
      </c>
      <c r="L2660" s="3">
        <v>0.39930555555555558</v>
      </c>
      <c r="M2660" s="2" t="s">
        <v>1905</v>
      </c>
      <c r="N2660" s="2" t="s">
        <v>500</v>
      </c>
      <c r="O2660" s="2"/>
    </row>
    <row r="2661" spans="1:15" x14ac:dyDescent="0.25">
      <c r="A2661" s="2" t="s">
        <v>15</v>
      </c>
      <c r="B2661" s="2" t="str">
        <f>"FES1162770680"</f>
        <v>FES1162770680</v>
      </c>
      <c r="C2661" s="2" t="s">
        <v>1513</v>
      </c>
      <c r="D2661" s="2">
        <v>1</v>
      </c>
      <c r="E2661" s="2" t="str">
        <f>"2170757942"</f>
        <v>2170757942</v>
      </c>
      <c r="F2661" s="2" t="s">
        <v>17</v>
      </c>
      <c r="G2661" s="2" t="s">
        <v>18</v>
      </c>
      <c r="H2661" s="2" t="s">
        <v>18</v>
      </c>
      <c r="I2661" s="2" t="s">
        <v>157</v>
      </c>
      <c r="J2661" s="2" t="s">
        <v>347</v>
      </c>
      <c r="K2661" s="2" t="s">
        <v>1762</v>
      </c>
      <c r="L2661" s="3">
        <v>0.42708333333333331</v>
      </c>
      <c r="M2661" s="2" t="s">
        <v>1881</v>
      </c>
      <c r="N2661" s="2" t="s">
        <v>500</v>
      </c>
      <c r="O2661" s="2"/>
    </row>
    <row r="2662" spans="1:15" x14ac:dyDescent="0.25">
      <c r="A2662" s="2" t="s">
        <v>15</v>
      </c>
      <c r="B2662" s="2" t="str">
        <f>"FES1162770968"</f>
        <v>FES1162770968</v>
      </c>
      <c r="C2662" s="2" t="s">
        <v>1513</v>
      </c>
      <c r="D2662" s="2">
        <v>1</v>
      </c>
      <c r="E2662" s="2" t="str">
        <f>"2170758102"</f>
        <v>2170758102</v>
      </c>
      <c r="F2662" s="2" t="s">
        <v>17</v>
      </c>
      <c r="G2662" s="2" t="s">
        <v>18</v>
      </c>
      <c r="H2662" s="2" t="s">
        <v>25</v>
      </c>
      <c r="I2662" s="2" t="s">
        <v>125</v>
      </c>
      <c r="J2662" s="2" t="s">
        <v>126</v>
      </c>
      <c r="K2662" s="2" t="s">
        <v>1762</v>
      </c>
      <c r="L2662" s="3">
        <v>0.5625</v>
      </c>
      <c r="M2662" s="2" t="s">
        <v>1970</v>
      </c>
      <c r="N2662" s="2" t="s">
        <v>500</v>
      </c>
      <c r="O2662" s="2"/>
    </row>
    <row r="2663" spans="1:15" x14ac:dyDescent="0.25">
      <c r="A2663" s="2" t="s">
        <v>15</v>
      </c>
      <c r="B2663" s="2" t="str">
        <f>"FES1162770799"</f>
        <v>FES1162770799</v>
      </c>
      <c r="C2663" s="2" t="s">
        <v>1513</v>
      </c>
      <c r="D2663" s="2">
        <v>1</v>
      </c>
      <c r="E2663" s="2" t="str">
        <f>"2170756379"</f>
        <v>2170756379</v>
      </c>
      <c r="F2663" s="2" t="s">
        <v>17</v>
      </c>
      <c r="G2663" s="2" t="s">
        <v>18</v>
      </c>
      <c r="H2663" s="2" t="s">
        <v>18</v>
      </c>
      <c r="I2663" s="2" t="s">
        <v>63</v>
      </c>
      <c r="J2663" s="2" t="s">
        <v>93</v>
      </c>
      <c r="K2663" s="2" t="s">
        <v>1762</v>
      </c>
      <c r="L2663" s="3">
        <v>0.39930555555555558</v>
      </c>
      <c r="M2663" s="2" t="s">
        <v>1905</v>
      </c>
      <c r="N2663" s="2" t="s">
        <v>500</v>
      </c>
      <c r="O2663" s="2"/>
    </row>
    <row r="2664" spans="1:15" x14ac:dyDescent="0.25">
      <c r="A2664" s="2" t="s">
        <v>15</v>
      </c>
      <c r="B2664" s="2" t="str">
        <f>"FES1162770984"</f>
        <v>FES1162770984</v>
      </c>
      <c r="C2664" s="2" t="s">
        <v>1513</v>
      </c>
      <c r="D2664" s="2">
        <v>1</v>
      </c>
      <c r="E2664" s="2" t="str">
        <f>"2170758124"</f>
        <v>2170758124</v>
      </c>
      <c r="F2664" s="2" t="s">
        <v>17</v>
      </c>
      <c r="G2664" s="2" t="s">
        <v>18</v>
      </c>
      <c r="H2664" s="2" t="s">
        <v>657</v>
      </c>
      <c r="I2664" s="2" t="s">
        <v>1806</v>
      </c>
      <c r="J2664" s="2" t="s">
        <v>1807</v>
      </c>
      <c r="K2664" s="2" t="s">
        <v>1969</v>
      </c>
      <c r="L2664" s="3">
        <v>0.35416666666666669</v>
      </c>
      <c r="M2664" s="2" t="s">
        <v>2074</v>
      </c>
      <c r="N2664" s="2" t="s">
        <v>500</v>
      </c>
      <c r="O2664" s="2"/>
    </row>
    <row r="2665" spans="1:15" x14ac:dyDescent="0.25">
      <c r="A2665" s="2" t="s">
        <v>15</v>
      </c>
      <c r="B2665" s="2" t="str">
        <f>"FES1162770934"</f>
        <v>FES1162770934</v>
      </c>
      <c r="C2665" s="2" t="s">
        <v>1513</v>
      </c>
      <c r="D2665" s="2">
        <v>1</v>
      </c>
      <c r="E2665" s="2" t="str">
        <f>"2170758049"</f>
        <v>2170758049</v>
      </c>
      <c r="F2665" s="2" t="s">
        <v>17</v>
      </c>
      <c r="G2665" s="2" t="s">
        <v>18</v>
      </c>
      <c r="H2665" s="2" t="s">
        <v>25</v>
      </c>
      <c r="I2665" s="2" t="s">
        <v>26</v>
      </c>
      <c r="J2665" s="2" t="s">
        <v>75</v>
      </c>
      <c r="K2665" s="2" t="s">
        <v>1762</v>
      </c>
      <c r="L2665" s="3">
        <v>0.41666666666666669</v>
      </c>
      <c r="M2665" s="2" t="s">
        <v>1865</v>
      </c>
      <c r="N2665" s="2" t="s">
        <v>500</v>
      </c>
      <c r="O2665" s="2"/>
    </row>
    <row r="2666" spans="1:15" x14ac:dyDescent="0.25">
      <c r="A2666" s="2" t="s">
        <v>15</v>
      </c>
      <c r="B2666" s="2" t="str">
        <f>"FES1162770928"</f>
        <v>FES1162770928</v>
      </c>
      <c r="C2666" s="2" t="s">
        <v>1513</v>
      </c>
      <c r="D2666" s="2">
        <v>1</v>
      </c>
      <c r="E2666" s="2" t="str">
        <f>"2170758037"</f>
        <v>2170758037</v>
      </c>
      <c r="F2666" s="2" t="s">
        <v>17</v>
      </c>
      <c r="G2666" s="2" t="s">
        <v>18</v>
      </c>
      <c r="H2666" s="2" t="s">
        <v>19</v>
      </c>
      <c r="I2666" s="2" t="s">
        <v>20</v>
      </c>
      <c r="J2666" s="2" t="s">
        <v>21</v>
      </c>
      <c r="K2666" s="2" t="s">
        <v>1762</v>
      </c>
      <c r="L2666" s="3">
        <v>0.4375</v>
      </c>
      <c r="M2666" s="2" t="s">
        <v>1733</v>
      </c>
      <c r="N2666" s="2" t="s">
        <v>500</v>
      </c>
      <c r="O2666" s="2"/>
    </row>
    <row r="2667" spans="1:15" x14ac:dyDescent="0.25">
      <c r="A2667" s="2" t="s">
        <v>15</v>
      </c>
      <c r="B2667" s="2" t="str">
        <f>"FES1162770926"</f>
        <v>FES1162770926</v>
      </c>
      <c r="C2667" s="2" t="s">
        <v>1513</v>
      </c>
      <c r="D2667" s="2">
        <v>1</v>
      </c>
      <c r="E2667" s="2" t="str">
        <f>"2170758039"</f>
        <v>2170758039</v>
      </c>
      <c r="F2667" s="2" t="s">
        <v>17</v>
      </c>
      <c r="G2667" s="2" t="s">
        <v>18</v>
      </c>
      <c r="H2667" s="2" t="s">
        <v>33</v>
      </c>
      <c r="I2667" s="2" t="s">
        <v>34</v>
      </c>
      <c r="J2667" s="2" t="s">
        <v>152</v>
      </c>
      <c r="K2667" s="2" t="s">
        <v>1762</v>
      </c>
      <c r="L2667" s="3">
        <v>0.43333333333333335</v>
      </c>
      <c r="M2667" s="2" t="s">
        <v>1913</v>
      </c>
      <c r="N2667" s="2" t="s">
        <v>500</v>
      </c>
      <c r="O2667" s="2"/>
    </row>
    <row r="2668" spans="1:15" x14ac:dyDescent="0.25">
      <c r="A2668" s="2" t="s">
        <v>15</v>
      </c>
      <c r="B2668" s="2" t="str">
        <f>"FES1162770921"</f>
        <v>FES1162770921</v>
      </c>
      <c r="C2668" s="2" t="s">
        <v>1513</v>
      </c>
      <c r="D2668" s="2">
        <v>1</v>
      </c>
      <c r="E2668" s="2" t="str">
        <f>"2170758029"</f>
        <v>2170758029</v>
      </c>
      <c r="F2668" s="2" t="s">
        <v>17</v>
      </c>
      <c r="G2668" s="2" t="s">
        <v>18</v>
      </c>
      <c r="H2668" s="2" t="s">
        <v>18</v>
      </c>
      <c r="I2668" s="2" t="s">
        <v>63</v>
      </c>
      <c r="J2668" s="2" t="s">
        <v>1808</v>
      </c>
      <c r="K2668" s="2" t="s">
        <v>1762</v>
      </c>
      <c r="L2668" s="3">
        <v>0.375</v>
      </c>
      <c r="M2668" s="2" t="s">
        <v>1921</v>
      </c>
      <c r="N2668" s="2" t="s">
        <v>500</v>
      </c>
      <c r="O2668" s="2"/>
    </row>
    <row r="2669" spans="1:15" x14ac:dyDescent="0.25">
      <c r="A2669" s="2" t="s">
        <v>15</v>
      </c>
      <c r="B2669" s="2" t="str">
        <f>"FES1162770930"</f>
        <v>FES1162770930</v>
      </c>
      <c r="C2669" s="2" t="s">
        <v>1513</v>
      </c>
      <c r="D2669" s="2">
        <v>1</v>
      </c>
      <c r="E2669" s="2" t="str">
        <f>"2170758044"</f>
        <v>2170758044</v>
      </c>
      <c r="F2669" s="2" t="s">
        <v>17</v>
      </c>
      <c r="G2669" s="2" t="s">
        <v>18</v>
      </c>
      <c r="H2669" s="2" t="s">
        <v>19</v>
      </c>
      <c r="I2669" s="2" t="s">
        <v>20</v>
      </c>
      <c r="J2669" s="2" t="s">
        <v>21</v>
      </c>
      <c r="K2669" s="2" t="s">
        <v>1762</v>
      </c>
      <c r="L2669" s="3">
        <v>0.4375</v>
      </c>
      <c r="M2669" s="2" t="s">
        <v>1733</v>
      </c>
      <c r="N2669" s="2" t="s">
        <v>500</v>
      </c>
      <c r="O2669" s="2"/>
    </row>
    <row r="2670" spans="1:15" x14ac:dyDescent="0.25">
      <c r="A2670" s="2" t="s">
        <v>15</v>
      </c>
      <c r="B2670" s="2" t="str">
        <f>"FES1162770942"</f>
        <v>FES1162770942</v>
      </c>
      <c r="C2670" s="2" t="s">
        <v>1513</v>
      </c>
      <c r="D2670" s="2">
        <v>1</v>
      </c>
      <c r="E2670" s="2" t="str">
        <f>"2170758059"</f>
        <v>2170758059</v>
      </c>
      <c r="F2670" s="2" t="s">
        <v>17</v>
      </c>
      <c r="G2670" s="2" t="s">
        <v>18</v>
      </c>
      <c r="H2670" s="2" t="s">
        <v>36</v>
      </c>
      <c r="I2670" s="2" t="s">
        <v>37</v>
      </c>
      <c r="J2670" s="2" t="s">
        <v>55</v>
      </c>
      <c r="K2670" s="2" t="s">
        <v>1762</v>
      </c>
      <c r="L2670" s="3">
        <v>0.34722222222222227</v>
      </c>
      <c r="M2670" s="2" t="s">
        <v>1683</v>
      </c>
      <c r="N2670" s="2" t="s">
        <v>500</v>
      </c>
      <c r="O2670" s="2"/>
    </row>
    <row r="2671" spans="1:15" x14ac:dyDescent="0.25">
      <c r="A2671" s="2" t="s">
        <v>15</v>
      </c>
      <c r="B2671" s="2" t="str">
        <f>"FES1162770951"</f>
        <v>FES1162770951</v>
      </c>
      <c r="C2671" s="2" t="s">
        <v>1513</v>
      </c>
      <c r="D2671" s="2">
        <v>1</v>
      </c>
      <c r="E2671" s="2" t="str">
        <f>"2170758076"</f>
        <v>2170758076</v>
      </c>
      <c r="F2671" s="2" t="s">
        <v>17</v>
      </c>
      <c r="G2671" s="2" t="s">
        <v>18</v>
      </c>
      <c r="H2671" s="2" t="s">
        <v>36</v>
      </c>
      <c r="I2671" s="2" t="s">
        <v>37</v>
      </c>
      <c r="J2671" s="2" t="s">
        <v>104</v>
      </c>
      <c r="K2671" s="2" t="s">
        <v>1762</v>
      </c>
      <c r="L2671" s="3">
        <v>0.38541666666666669</v>
      </c>
      <c r="M2671" s="2" t="s">
        <v>237</v>
      </c>
      <c r="N2671" s="2" t="s">
        <v>500</v>
      </c>
      <c r="O2671" s="2"/>
    </row>
    <row r="2672" spans="1:15" x14ac:dyDescent="0.25">
      <c r="A2672" s="2" t="s">
        <v>15</v>
      </c>
      <c r="B2672" s="2" t="str">
        <f>"FES1162770931"</f>
        <v>FES1162770931</v>
      </c>
      <c r="C2672" s="2" t="s">
        <v>1513</v>
      </c>
      <c r="D2672" s="2">
        <v>1</v>
      </c>
      <c r="E2672" s="2" t="str">
        <f>"2170758045"</f>
        <v>2170758045</v>
      </c>
      <c r="F2672" s="2" t="s">
        <v>17</v>
      </c>
      <c r="G2672" s="2" t="s">
        <v>18</v>
      </c>
      <c r="H2672" s="2" t="s">
        <v>363</v>
      </c>
      <c r="I2672" s="2" t="s">
        <v>489</v>
      </c>
      <c r="J2672" s="2" t="s">
        <v>909</v>
      </c>
      <c r="K2672" s="2" t="s">
        <v>1762</v>
      </c>
      <c r="L2672" s="3">
        <v>0.41666666666666669</v>
      </c>
      <c r="M2672" s="2" t="s">
        <v>1966</v>
      </c>
      <c r="N2672" s="2" t="s">
        <v>500</v>
      </c>
      <c r="O2672" s="2"/>
    </row>
    <row r="2673" spans="1:15" x14ac:dyDescent="0.25">
      <c r="A2673" s="2" t="s">
        <v>15</v>
      </c>
      <c r="B2673" s="2" t="str">
        <f>"FES1162770948"</f>
        <v>FES1162770948</v>
      </c>
      <c r="C2673" s="2" t="s">
        <v>1513</v>
      </c>
      <c r="D2673" s="2">
        <v>1</v>
      </c>
      <c r="E2673" s="2" t="str">
        <f>"2170758068"</f>
        <v>2170758068</v>
      </c>
      <c r="F2673" s="2" t="s">
        <v>17</v>
      </c>
      <c r="G2673" s="2" t="s">
        <v>18</v>
      </c>
      <c r="H2673" s="2" t="s">
        <v>36</v>
      </c>
      <c r="I2673" s="2" t="s">
        <v>37</v>
      </c>
      <c r="J2673" s="2" t="s">
        <v>646</v>
      </c>
      <c r="K2673" s="2" t="s">
        <v>1762</v>
      </c>
      <c r="L2673" s="3">
        <v>0.35416666666666669</v>
      </c>
      <c r="M2673" s="2" t="s">
        <v>1922</v>
      </c>
      <c r="N2673" s="2" t="s">
        <v>500</v>
      </c>
      <c r="O2673" s="2"/>
    </row>
    <row r="2674" spans="1:15" x14ac:dyDescent="0.25">
      <c r="A2674" s="5" t="s">
        <v>15</v>
      </c>
      <c r="B2674" s="5" t="str">
        <f>"FES1162770985"</f>
        <v>FES1162770985</v>
      </c>
      <c r="C2674" s="5" t="s">
        <v>1513</v>
      </c>
      <c r="D2674" s="5">
        <v>1</v>
      </c>
      <c r="E2674" s="5" t="str">
        <f>"2170758127"</f>
        <v>2170758127</v>
      </c>
      <c r="F2674" s="5" t="s">
        <v>17</v>
      </c>
      <c r="G2674" s="5" t="s">
        <v>18</v>
      </c>
      <c r="H2674" s="5" t="s">
        <v>36</v>
      </c>
      <c r="I2674" s="5" t="s">
        <v>1032</v>
      </c>
      <c r="J2674" s="5" t="s">
        <v>1033</v>
      </c>
      <c r="K2674" s="5" t="s">
        <v>2138</v>
      </c>
      <c r="L2674" s="9">
        <v>0.59930555555555554</v>
      </c>
      <c r="M2674" s="5" t="s">
        <v>2234</v>
      </c>
      <c r="N2674" s="5" t="s">
        <v>500</v>
      </c>
      <c r="O2674" s="5" t="s">
        <v>2157</v>
      </c>
    </row>
    <row r="2675" spans="1:15" x14ac:dyDescent="0.25">
      <c r="A2675" s="2" t="s">
        <v>15</v>
      </c>
      <c r="B2675" s="2" t="str">
        <f>"FES1162770932"</f>
        <v>FES1162770932</v>
      </c>
      <c r="C2675" s="2" t="s">
        <v>1513</v>
      </c>
      <c r="D2675" s="2">
        <v>1</v>
      </c>
      <c r="E2675" s="2" t="str">
        <f>"2170758046"</f>
        <v>2170758046</v>
      </c>
      <c r="F2675" s="2" t="s">
        <v>17</v>
      </c>
      <c r="G2675" s="2" t="s">
        <v>18</v>
      </c>
      <c r="H2675" s="2" t="s">
        <v>36</v>
      </c>
      <c r="I2675" s="2" t="s">
        <v>67</v>
      </c>
      <c r="J2675" s="2" t="s">
        <v>68</v>
      </c>
      <c r="K2675" s="2" t="s">
        <v>1762</v>
      </c>
      <c r="L2675" s="3">
        <v>0.40277777777777773</v>
      </c>
      <c r="M2675" s="2" t="s">
        <v>1923</v>
      </c>
      <c r="N2675" s="2" t="s">
        <v>500</v>
      </c>
      <c r="O2675" s="2"/>
    </row>
    <row r="2676" spans="1:15" x14ac:dyDescent="0.25">
      <c r="A2676" s="2" t="s">
        <v>15</v>
      </c>
      <c r="B2676" s="2" t="str">
        <f>"FES1162770976"</f>
        <v>FES1162770976</v>
      </c>
      <c r="C2676" s="2" t="s">
        <v>1513</v>
      </c>
      <c r="D2676" s="2">
        <v>1</v>
      </c>
      <c r="E2676" s="2" t="str">
        <f>"2170758113"</f>
        <v>2170758113</v>
      </c>
      <c r="F2676" s="2" t="s">
        <v>17</v>
      </c>
      <c r="G2676" s="2" t="s">
        <v>18</v>
      </c>
      <c r="H2676" s="2" t="s">
        <v>36</v>
      </c>
      <c r="I2676" s="2" t="s">
        <v>37</v>
      </c>
      <c r="J2676" s="2" t="s">
        <v>55</v>
      </c>
      <c r="K2676" s="2" t="s">
        <v>1762</v>
      </c>
      <c r="L2676" s="3">
        <v>0.34722222222222227</v>
      </c>
      <c r="M2676" s="2" t="s">
        <v>1924</v>
      </c>
      <c r="N2676" s="2" t="s">
        <v>500</v>
      </c>
      <c r="O2676" s="2"/>
    </row>
    <row r="2677" spans="1:15" x14ac:dyDescent="0.25">
      <c r="A2677" s="2" t="s">
        <v>15</v>
      </c>
      <c r="B2677" s="2" t="str">
        <f>"FES1162770704"</f>
        <v>FES1162770704</v>
      </c>
      <c r="C2677" s="2" t="s">
        <v>1513</v>
      </c>
      <c r="D2677" s="2">
        <v>1</v>
      </c>
      <c r="E2677" s="2" t="str">
        <f>"2170755609"</f>
        <v>2170755609</v>
      </c>
      <c r="F2677" s="2" t="s">
        <v>17</v>
      </c>
      <c r="G2677" s="2" t="s">
        <v>18</v>
      </c>
      <c r="H2677" s="2" t="s">
        <v>36</v>
      </c>
      <c r="I2677" s="2" t="s">
        <v>37</v>
      </c>
      <c r="J2677" s="2" t="s">
        <v>462</v>
      </c>
      <c r="K2677" s="2" t="s">
        <v>1762</v>
      </c>
      <c r="L2677" s="3">
        <v>0.39583333333333331</v>
      </c>
      <c r="M2677" s="2" t="s">
        <v>1193</v>
      </c>
      <c r="N2677" s="2" t="s">
        <v>500</v>
      </c>
      <c r="O2677" s="2"/>
    </row>
    <row r="2678" spans="1:15" x14ac:dyDescent="0.25">
      <c r="A2678" s="2" t="s">
        <v>15</v>
      </c>
      <c r="B2678" s="2" t="str">
        <f>"FES1162770892"</f>
        <v>FES1162770892</v>
      </c>
      <c r="C2678" s="2" t="s">
        <v>1513</v>
      </c>
      <c r="D2678" s="2">
        <v>1</v>
      </c>
      <c r="E2678" s="2" t="str">
        <f>"2170758007"</f>
        <v>2170758007</v>
      </c>
      <c r="F2678" s="2" t="s">
        <v>17</v>
      </c>
      <c r="G2678" s="2" t="s">
        <v>18</v>
      </c>
      <c r="H2678" s="2" t="s">
        <v>18</v>
      </c>
      <c r="I2678" s="2" t="s">
        <v>57</v>
      </c>
      <c r="J2678" s="2" t="s">
        <v>903</v>
      </c>
      <c r="K2678" s="2" t="s">
        <v>1762</v>
      </c>
      <c r="L2678" s="3">
        <v>0.4375</v>
      </c>
      <c r="M2678" s="2" t="s">
        <v>1842</v>
      </c>
      <c r="N2678" s="2" t="s">
        <v>500</v>
      </c>
      <c r="O2678" s="2"/>
    </row>
    <row r="2679" spans="1:15" x14ac:dyDescent="0.25">
      <c r="A2679" s="2" t="s">
        <v>15</v>
      </c>
      <c r="B2679" s="2" t="str">
        <f>"FES1162770980"</f>
        <v>FES1162770980</v>
      </c>
      <c r="C2679" s="2" t="s">
        <v>1513</v>
      </c>
      <c r="D2679" s="2">
        <v>1</v>
      </c>
      <c r="E2679" s="2" t="str">
        <f>"2170758120"</f>
        <v>2170758120</v>
      </c>
      <c r="F2679" s="2" t="s">
        <v>17</v>
      </c>
      <c r="G2679" s="2" t="s">
        <v>18</v>
      </c>
      <c r="H2679" s="2" t="s">
        <v>36</v>
      </c>
      <c r="I2679" s="2" t="s">
        <v>37</v>
      </c>
      <c r="J2679" s="2" t="s">
        <v>1809</v>
      </c>
      <c r="K2679" s="2" t="s">
        <v>1762</v>
      </c>
      <c r="L2679" s="3">
        <v>0.4375</v>
      </c>
      <c r="M2679" s="2" t="s">
        <v>1925</v>
      </c>
      <c r="N2679" s="2" t="s">
        <v>500</v>
      </c>
      <c r="O2679" s="2"/>
    </row>
    <row r="2680" spans="1:15" x14ac:dyDescent="0.25">
      <c r="A2680" s="2" t="s">
        <v>15</v>
      </c>
      <c r="B2680" s="2" t="str">
        <f>"FES1162770952"</f>
        <v>FES1162770952</v>
      </c>
      <c r="C2680" s="2" t="s">
        <v>1513</v>
      </c>
      <c r="D2680" s="2">
        <v>1</v>
      </c>
      <c r="E2680" s="2" t="str">
        <f>"2170758077"</f>
        <v>2170758077</v>
      </c>
      <c r="F2680" s="2" t="s">
        <v>17</v>
      </c>
      <c r="G2680" s="2" t="s">
        <v>18</v>
      </c>
      <c r="H2680" s="2" t="s">
        <v>36</v>
      </c>
      <c r="I2680" s="2" t="s">
        <v>37</v>
      </c>
      <c r="J2680" s="2" t="s">
        <v>102</v>
      </c>
      <c r="K2680" s="2" t="s">
        <v>1762</v>
      </c>
      <c r="L2680" s="3">
        <v>0.39861111111111108</v>
      </c>
      <c r="M2680" s="2" t="s">
        <v>1872</v>
      </c>
      <c r="N2680" s="2" t="s">
        <v>500</v>
      </c>
      <c r="O2680" s="2"/>
    </row>
    <row r="2681" spans="1:15" x14ac:dyDescent="0.25">
      <c r="A2681" s="2" t="s">
        <v>15</v>
      </c>
      <c r="B2681" s="2" t="str">
        <f>"FES1162770954"</f>
        <v>FES1162770954</v>
      </c>
      <c r="C2681" s="2" t="s">
        <v>1513</v>
      </c>
      <c r="D2681" s="2">
        <v>1</v>
      </c>
      <c r="E2681" s="2" t="str">
        <f>"2170758079"</f>
        <v>2170758079</v>
      </c>
      <c r="F2681" s="2" t="s">
        <v>17</v>
      </c>
      <c r="G2681" s="2" t="s">
        <v>18</v>
      </c>
      <c r="H2681" s="2" t="s">
        <v>33</v>
      </c>
      <c r="I2681" s="2" t="s">
        <v>34</v>
      </c>
      <c r="J2681" s="2" t="s">
        <v>371</v>
      </c>
      <c r="K2681" s="2" t="s">
        <v>1762</v>
      </c>
      <c r="L2681" s="3">
        <v>0.43333333333333335</v>
      </c>
      <c r="M2681" s="2" t="s">
        <v>1926</v>
      </c>
      <c r="N2681" s="2" t="s">
        <v>500</v>
      </c>
      <c r="O2681" s="2"/>
    </row>
    <row r="2682" spans="1:15" x14ac:dyDescent="0.25">
      <c r="A2682" s="2" t="s">
        <v>15</v>
      </c>
      <c r="B2682" s="2" t="str">
        <f>"FES1162770817"</f>
        <v>FES1162770817</v>
      </c>
      <c r="C2682" s="2" t="s">
        <v>1513</v>
      </c>
      <c r="D2682" s="2">
        <v>1</v>
      </c>
      <c r="E2682" s="2" t="str">
        <f>"2170756612"</f>
        <v>2170756612</v>
      </c>
      <c r="F2682" s="2" t="s">
        <v>17</v>
      </c>
      <c r="G2682" s="2" t="s">
        <v>18</v>
      </c>
      <c r="H2682" s="2" t="s">
        <v>18</v>
      </c>
      <c r="I2682" s="2" t="s">
        <v>50</v>
      </c>
      <c r="J2682" s="2" t="s">
        <v>1789</v>
      </c>
      <c r="K2682" s="2" t="s">
        <v>1762</v>
      </c>
      <c r="L2682" s="3">
        <v>0.4375</v>
      </c>
      <c r="M2682" s="2" t="s">
        <v>558</v>
      </c>
      <c r="N2682" s="2" t="s">
        <v>500</v>
      </c>
      <c r="O2682" s="2"/>
    </row>
    <row r="2683" spans="1:15" x14ac:dyDescent="0.25">
      <c r="A2683" s="15" t="s">
        <v>15</v>
      </c>
      <c r="B2683" s="15" t="str">
        <f>"FES1162770618"</f>
        <v>FES1162770618</v>
      </c>
      <c r="C2683" s="15" t="s">
        <v>1513</v>
      </c>
      <c r="D2683" s="15">
        <v>1</v>
      </c>
      <c r="E2683" s="15" t="str">
        <f>"2170755691"</f>
        <v>2170755691</v>
      </c>
      <c r="F2683" s="15" t="s">
        <v>17</v>
      </c>
      <c r="G2683" s="15" t="s">
        <v>18</v>
      </c>
      <c r="H2683" s="15" t="s">
        <v>18</v>
      </c>
      <c r="I2683" s="15" t="s">
        <v>50</v>
      </c>
      <c r="J2683" s="15" t="s">
        <v>1810</v>
      </c>
      <c r="K2683" s="15" t="s">
        <v>2197</v>
      </c>
      <c r="L2683" s="16">
        <v>0.35416666666666669</v>
      </c>
      <c r="M2683" s="15" t="s">
        <v>2314</v>
      </c>
      <c r="N2683" s="15" t="s">
        <v>2310</v>
      </c>
      <c r="O2683" s="15" t="s">
        <v>2070</v>
      </c>
    </row>
    <row r="2684" spans="1:15" x14ac:dyDescent="0.25">
      <c r="A2684" s="2" t="s">
        <v>15</v>
      </c>
      <c r="B2684" s="2" t="str">
        <f>"FES1162770698"</f>
        <v>FES1162770698</v>
      </c>
      <c r="C2684" s="2" t="s">
        <v>1513</v>
      </c>
      <c r="D2684" s="2">
        <v>1</v>
      </c>
      <c r="E2684" s="2" t="str">
        <f>"2170757962"</f>
        <v>2170757962</v>
      </c>
      <c r="F2684" s="2" t="s">
        <v>17</v>
      </c>
      <c r="G2684" s="2" t="s">
        <v>18</v>
      </c>
      <c r="H2684" s="2" t="s">
        <v>88</v>
      </c>
      <c r="I2684" s="2" t="s">
        <v>109</v>
      </c>
      <c r="J2684" s="2" t="s">
        <v>1039</v>
      </c>
      <c r="K2684" s="2" t="s">
        <v>1762</v>
      </c>
      <c r="L2684" s="3">
        <v>0.4236111111111111</v>
      </c>
      <c r="M2684" s="2" t="s">
        <v>710</v>
      </c>
      <c r="N2684" s="2" t="s">
        <v>500</v>
      </c>
      <c r="O2684" s="2"/>
    </row>
    <row r="2685" spans="1:15" x14ac:dyDescent="0.25">
      <c r="A2685" s="2" t="s">
        <v>15</v>
      </c>
      <c r="B2685" s="2" t="str">
        <f>"FES1162770723"</f>
        <v>FES1162770723</v>
      </c>
      <c r="C2685" s="2" t="s">
        <v>1762</v>
      </c>
      <c r="D2685" s="2">
        <v>1</v>
      </c>
      <c r="E2685" s="2" t="str">
        <f>"2170755989"</f>
        <v>2170755989</v>
      </c>
      <c r="F2685" s="2" t="s">
        <v>17</v>
      </c>
      <c r="G2685" s="2" t="s">
        <v>18</v>
      </c>
      <c r="H2685" s="2" t="s">
        <v>88</v>
      </c>
      <c r="I2685" s="2" t="s">
        <v>109</v>
      </c>
      <c r="J2685" s="2" t="s">
        <v>1927</v>
      </c>
      <c r="K2685" s="2" t="s">
        <v>1897</v>
      </c>
      <c r="L2685" s="3">
        <v>0.4236111111111111</v>
      </c>
      <c r="M2685" s="2" t="s">
        <v>1971</v>
      </c>
      <c r="N2685" s="2" t="s">
        <v>500</v>
      </c>
      <c r="O2685" s="2"/>
    </row>
    <row r="2686" spans="1:15" x14ac:dyDescent="0.25">
      <c r="A2686" s="2" t="s">
        <v>15</v>
      </c>
      <c r="B2686" s="2" t="str">
        <f>"FES1162770806"</f>
        <v>FES1162770806</v>
      </c>
      <c r="C2686" s="2" t="s">
        <v>1762</v>
      </c>
      <c r="D2686" s="2">
        <v>1</v>
      </c>
      <c r="E2686" s="2" t="str">
        <f>"2170756455"</f>
        <v>2170756455</v>
      </c>
      <c r="F2686" s="2" t="s">
        <v>17</v>
      </c>
      <c r="G2686" s="2" t="s">
        <v>18</v>
      </c>
      <c r="H2686" s="2" t="s">
        <v>19</v>
      </c>
      <c r="I2686" s="2" t="s">
        <v>20</v>
      </c>
      <c r="J2686" s="2" t="s">
        <v>447</v>
      </c>
      <c r="K2686" s="2" t="s">
        <v>1762</v>
      </c>
      <c r="L2686" s="3">
        <v>0.58611111111111114</v>
      </c>
      <c r="M2686" s="2" t="s">
        <v>1928</v>
      </c>
      <c r="N2686" s="2" t="s">
        <v>500</v>
      </c>
      <c r="O2686" s="2"/>
    </row>
    <row r="2687" spans="1:15" x14ac:dyDescent="0.25">
      <c r="A2687" s="2" t="s">
        <v>15</v>
      </c>
      <c r="B2687" s="2" t="str">
        <f>"FES1162770629"</f>
        <v>FES1162770629</v>
      </c>
      <c r="C2687" s="2" t="s">
        <v>1762</v>
      </c>
      <c r="D2687" s="2">
        <v>1</v>
      </c>
      <c r="E2687" s="2" t="str">
        <f>"2170756385"</f>
        <v>2170756385</v>
      </c>
      <c r="F2687" s="2" t="s">
        <v>17</v>
      </c>
      <c r="G2687" s="2" t="s">
        <v>18</v>
      </c>
      <c r="H2687" s="2" t="s">
        <v>25</v>
      </c>
      <c r="I2687" s="2" t="s">
        <v>26</v>
      </c>
      <c r="J2687" s="2" t="s">
        <v>27</v>
      </c>
      <c r="K2687" s="2" t="s">
        <v>1897</v>
      </c>
      <c r="L2687" s="3">
        <v>0.41597222222222219</v>
      </c>
      <c r="M2687" s="2" t="s">
        <v>521</v>
      </c>
      <c r="N2687" s="2" t="s">
        <v>500</v>
      </c>
      <c r="O2687" s="2"/>
    </row>
    <row r="2688" spans="1:15" x14ac:dyDescent="0.25">
      <c r="A2688" s="2" t="s">
        <v>15</v>
      </c>
      <c r="B2688" s="2" t="str">
        <f>"FES1162770937"</f>
        <v>FES1162770937</v>
      </c>
      <c r="C2688" s="2" t="s">
        <v>1762</v>
      </c>
      <c r="D2688" s="2">
        <v>2</v>
      </c>
      <c r="E2688" s="2" t="str">
        <f>"2170758083"</f>
        <v>2170758083</v>
      </c>
      <c r="F2688" s="2" t="s">
        <v>205</v>
      </c>
      <c r="G2688" s="2" t="s">
        <v>206</v>
      </c>
      <c r="H2688" s="2" t="s">
        <v>25</v>
      </c>
      <c r="I2688" s="2" t="s">
        <v>26</v>
      </c>
      <c r="J2688" s="2" t="s">
        <v>75</v>
      </c>
      <c r="K2688" s="2" t="s">
        <v>1969</v>
      </c>
      <c r="L2688" s="3">
        <v>0.55833333333333335</v>
      </c>
      <c r="M2688" s="2" t="s">
        <v>518</v>
      </c>
      <c r="N2688" s="2" t="s">
        <v>500</v>
      </c>
      <c r="O2688" s="2"/>
    </row>
    <row r="2689" spans="1:15" x14ac:dyDescent="0.25">
      <c r="A2689" s="2" t="s">
        <v>15</v>
      </c>
      <c r="B2689" s="2" t="str">
        <f>"FES1162770853"</f>
        <v>FES1162770853</v>
      </c>
      <c r="C2689" s="2" t="s">
        <v>1762</v>
      </c>
      <c r="D2689" s="2">
        <v>1</v>
      </c>
      <c r="E2689" s="2" t="str">
        <f>"2170756112"</f>
        <v>2170756112</v>
      </c>
      <c r="F2689" s="2" t="s">
        <v>17</v>
      </c>
      <c r="G2689" s="2" t="s">
        <v>18</v>
      </c>
      <c r="H2689" s="2" t="s">
        <v>18</v>
      </c>
      <c r="I2689" s="2" t="s">
        <v>116</v>
      </c>
      <c r="J2689" s="2" t="s">
        <v>786</v>
      </c>
      <c r="K2689" s="2" t="s">
        <v>1897</v>
      </c>
      <c r="L2689" s="3">
        <v>0.42083333333333334</v>
      </c>
      <c r="M2689" s="2" t="s">
        <v>1701</v>
      </c>
      <c r="N2689" s="2" t="s">
        <v>500</v>
      </c>
      <c r="O2689" s="2"/>
    </row>
    <row r="2690" spans="1:15" x14ac:dyDescent="0.25">
      <c r="A2690" s="2" t="s">
        <v>15</v>
      </c>
      <c r="B2690" s="2" t="str">
        <f>"FES1162770956"</f>
        <v>FES1162770956</v>
      </c>
      <c r="C2690" s="2" t="s">
        <v>1762</v>
      </c>
      <c r="D2690" s="2">
        <v>1</v>
      </c>
      <c r="E2690" s="2" t="str">
        <f>"2170758090"</f>
        <v>2170758090</v>
      </c>
      <c r="F2690" s="2" t="s">
        <v>17</v>
      </c>
      <c r="G2690" s="2" t="s">
        <v>18</v>
      </c>
      <c r="H2690" s="2" t="s">
        <v>18</v>
      </c>
      <c r="I2690" s="2" t="s">
        <v>290</v>
      </c>
      <c r="J2690" s="2" t="s">
        <v>420</v>
      </c>
      <c r="K2690" s="2" t="s">
        <v>1897</v>
      </c>
      <c r="L2690" s="3">
        <v>0.4375</v>
      </c>
      <c r="M2690" s="2" t="s">
        <v>751</v>
      </c>
      <c r="N2690" s="2" t="s">
        <v>500</v>
      </c>
      <c r="O2690" s="2"/>
    </row>
    <row r="2691" spans="1:15" x14ac:dyDescent="0.25">
      <c r="A2691" s="2" t="s">
        <v>15</v>
      </c>
      <c r="B2691" s="2" t="str">
        <f>"FES1162770625"</f>
        <v>FES1162770625</v>
      </c>
      <c r="C2691" s="2" t="s">
        <v>1762</v>
      </c>
      <c r="D2691" s="2">
        <v>1</v>
      </c>
      <c r="E2691" s="2" t="str">
        <f>"2170756223"</f>
        <v>2170756223</v>
      </c>
      <c r="F2691" s="2" t="s">
        <v>17</v>
      </c>
      <c r="G2691" s="2" t="s">
        <v>18</v>
      </c>
      <c r="H2691" s="2" t="s">
        <v>363</v>
      </c>
      <c r="I2691" s="2" t="s">
        <v>1439</v>
      </c>
      <c r="J2691" s="2" t="s">
        <v>1440</v>
      </c>
      <c r="K2691" s="2" t="s">
        <v>1897</v>
      </c>
      <c r="L2691" s="3">
        <v>0.375</v>
      </c>
      <c r="M2691" s="2" t="s">
        <v>1547</v>
      </c>
      <c r="N2691" s="2" t="s">
        <v>500</v>
      </c>
      <c r="O2691" s="2"/>
    </row>
    <row r="2692" spans="1:15" x14ac:dyDescent="0.25">
      <c r="A2692" s="2" t="s">
        <v>15</v>
      </c>
      <c r="B2692" s="2" t="str">
        <f>"FES1162770819"</f>
        <v>FES1162770819</v>
      </c>
      <c r="C2692" s="2" t="s">
        <v>1762</v>
      </c>
      <c r="D2692" s="2">
        <v>1</v>
      </c>
      <c r="E2692" s="2" t="str">
        <f>"2170756634"</f>
        <v>2170756634</v>
      </c>
      <c r="F2692" s="2" t="s">
        <v>17</v>
      </c>
      <c r="G2692" s="2" t="s">
        <v>18</v>
      </c>
      <c r="H2692" s="2" t="s">
        <v>18</v>
      </c>
      <c r="I2692" s="2" t="s">
        <v>57</v>
      </c>
      <c r="J2692" s="2" t="s">
        <v>103</v>
      </c>
      <c r="K2692" s="2" t="s">
        <v>1897</v>
      </c>
      <c r="L2692" s="3">
        <v>0.31111111111111112</v>
      </c>
      <c r="M2692" s="2" t="s">
        <v>220</v>
      </c>
      <c r="N2692" s="2" t="s">
        <v>500</v>
      </c>
      <c r="O2692" s="2"/>
    </row>
    <row r="2693" spans="1:15" x14ac:dyDescent="0.25">
      <c r="A2693" s="2" t="s">
        <v>15</v>
      </c>
      <c r="B2693" s="2" t="str">
        <f>"FES1162770913"</f>
        <v>FES1162770913</v>
      </c>
      <c r="C2693" s="2" t="s">
        <v>1762</v>
      </c>
      <c r="D2693" s="2">
        <v>1</v>
      </c>
      <c r="E2693" s="2" t="str">
        <f>"2170758023"</f>
        <v>2170758023</v>
      </c>
      <c r="F2693" s="2" t="s">
        <v>17</v>
      </c>
      <c r="G2693" s="2" t="s">
        <v>18</v>
      </c>
      <c r="H2693" s="2" t="s">
        <v>25</v>
      </c>
      <c r="I2693" s="2" t="s">
        <v>26</v>
      </c>
      <c r="J2693" s="2" t="s">
        <v>1146</v>
      </c>
      <c r="K2693" s="2" t="s">
        <v>1897</v>
      </c>
      <c r="L2693" s="3">
        <v>0.4145833333333333</v>
      </c>
      <c r="M2693" s="2" t="s">
        <v>1209</v>
      </c>
      <c r="N2693" s="2" t="s">
        <v>500</v>
      </c>
      <c r="O2693" s="2"/>
    </row>
    <row r="2694" spans="1:15" x14ac:dyDescent="0.25">
      <c r="A2694" s="2" t="s">
        <v>15</v>
      </c>
      <c r="B2694" s="2" t="str">
        <f>"FES1162770950"</f>
        <v>FES1162770950</v>
      </c>
      <c r="C2694" s="2" t="s">
        <v>1762</v>
      </c>
      <c r="D2694" s="2">
        <v>1</v>
      </c>
      <c r="E2694" s="2" t="str">
        <f>"2170758073"</f>
        <v>2170758073</v>
      </c>
      <c r="F2694" s="2" t="s">
        <v>17</v>
      </c>
      <c r="G2694" s="2" t="s">
        <v>18</v>
      </c>
      <c r="H2694" s="2" t="s">
        <v>18</v>
      </c>
      <c r="I2694" s="2" t="s">
        <v>290</v>
      </c>
      <c r="J2694" s="2" t="s">
        <v>420</v>
      </c>
      <c r="K2694" s="2" t="s">
        <v>1897</v>
      </c>
      <c r="L2694" s="3">
        <v>0.4375</v>
      </c>
      <c r="M2694" s="2" t="s">
        <v>751</v>
      </c>
      <c r="N2694" s="2" t="s">
        <v>500</v>
      </c>
      <c r="O2694" s="2"/>
    </row>
    <row r="2695" spans="1:15" x14ac:dyDescent="0.25">
      <c r="A2695" s="2" t="s">
        <v>15</v>
      </c>
      <c r="B2695" s="2" t="str">
        <f>"FES1162770927"</f>
        <v>FES1162770927</v>
      </c>
      <c r="C2695" s="2" t="s">
        <v>1762</v>
      </c>
      <c r="D2695" s="2">
        <v>1</v>
      </c>
      <c r="E2695" s="2" t="str">
        <f>"2170758041"</f>
        <v>2170758041</v>
      </c>
      <c r="F2695" s="2" t="s">
        <v>17</v>
      </c>
      <c r="G2695" s="2" t="s">
        <v>18</v>
      </c>
      <c r="H2695" s="2" t="s">
        <v>18</v>
      </c>
      <c r="I2695" s="2" t="s">
        <v>46</v>
      </c>
      <c r="J2695" s="2" t="s">
        <v>115</v>
      </c>
      <c r="K2695" s="2" t="s">
        <v>1897</v>
      </c>
      <c r="L2695" s="3">
        <v>0.34027777777777773</v>
      </c>
      <c r="M2695" s="2" t="s">
        <v>1972</v>
      </c>
      <c r="N2695" s="2" t="s">
        <v>500</v>
      </c>
      <c r="O2695" s="2"/>
    </row>
    <row r="2696" spans="1:15" x14ac:dyDescent="0.25">
      <c r="A2696" s="2" t="s">
        <v>15</v>
      </c>
      <c r="B2696" s="2" t="str">
        <f>"FES1162770889"</f>
        <v>FES1162770889</v>
      </c>
      <c r="C2696" s="2" t="s">
        <v>1762</v>
      </c>
      <c r="D2696" s="2">
        <v>1</v>
      </c>
      <c r="E2696" s="2" t="str">
        <f>"2170758001"</f>
        <v>2170758001</v>
      </c>
      <c r="F2696" s="2" t="s">
        <v>17</v>
      </c>
      <c r="G2696" s="2" t="s">
        <v>18</v>
      </c>
      <c r="H2696" s="2" t="s">
        <v>18</v>
      </c>
      <c r="I2696" s="2" t="s">
        <v>65</v>
      </c>
      <c r="J2696" s="2" t="s">
        <v>66</v>
      </c>
      <c r="K2696" s="2" t="s">
        <v>1897</v>
      </c>
      <c r="L2696" s="3">
        <v>0.3215277777777778</v>
      </c>
      <c r="M2696" s="2" t="s">
        <v>189</v>
      </c>
      <c r="N2696" s="2" t="s">
        <v>500</v>
      </c>
      <c r="O2696" s="2"/>
    </row>
    <row r="2697" spans="1:15" x14ac:dyDescent="0.25">
      <c r="A2697" s="2" t="s">
        <v>15</v>
      </c>
      <c r="B2697" s="2" t="str">
        <f>"FES1162770842"</f>
        <v>FES1162770842</v>
      </c>
      <c r="C2697" s="2" t="s">
        <v>1762</v>
      </c>
      <c r="D2697" s="2">
        <v>1</v>
      </c>
      <c r="E2697" s="2" t="str">
        <f>"21757929"</f>
        <v>21757929</v>
      </c>
      <c r="F2697" s="2" t="s">
        <v>17</v>
      </c>
      <c r="G2697" s="2" t="s">
        <v>18</v>
      </c>
      <c r="H2697" s="2" t="s">
        <v>18</v>
      </c>
      <c r="I2697" s="2" t="s">
        <v>63</v>
      </c>
      <c r="J2697" s="2" t="s">
        <v>1800</v>
      </c>
      <c r="K2697" s="2" t="s">
        <v>1897</v>
      </c>
      <c r="L2697" s="3">
        <v>0.4375</v>
      </c>
      <c r="M2697" s="2" t="s">
        <v>1973</v>
      </c>
      <c r="N2697" s="2" t="s">
        <v>500</v>
      </c>
      <c r="O2697" s="2"/>
    </row>
    <row r="2698" spans="1:15" x14ac:dyDescent="0.25">
      <c r="A2698" s="2" t="s">
        <v>15</v>
      </c>
      <c r="B2698" s="2" t="str">
        <f>"FES1162770786"</f>
        <v>FES1162770786</v>
      </c>
      <c r="C2698" s="2" t="s">
        <v>1762</v>
      </c>
      <c r="D2698" s="2">
        <v>1</v>
      </c>
      <c r="E2698" s="2" t="str">
        <f>"2170755280"</f>
        <v>2170755280</v>
      </c>
      <c r="F2698" s="2" t="s">
        <v>17</v>
      </c>
      <c r="G2698" s="2" t="s">
        <v>18</v>
      </c>
      <c r="H2698" s="2" t="s">
        <v>88</v>
      </c>
      <c r="I2698" s="2" t="s">
        <v>109</v>
      </c>
      <c r="J2698" s="2" t="s">
        <v>110</v>
      </c>
      <c r="K2698" s="2" t="s">
        <v>1897</v>
      </c>
      <c r="L2698" s="3">
        <v>0.35069444444444442</v>
      </c>
      <c r="M2698" s="2" t="s">
        <v>224</v>
      </c>
      <c r="N2698" s="2" t="s">
        <v>500</v>
      </c>
      <c r="O2698" s="2"/>
    </row>
    <row r="2699" spans="1:15" x14ac:dyDescent="0.25">
      <c r="A2699" s="2" t="s">
        <v>15</v>
      </c>
      <c r="B2699" s="2" t="str">
        <f>"FES1162770987"</f>
        <v>FES1162770987</v>
      </c>
      <c r="C2699" s="2" t="s">
        <v>1762</v>
      </c>
      <c r="D2699" s="2">
        <v>1</v>
      </c>
      <c r="E2699" s="2" t="str">
        <f>"2170758129"</f>
        <v>2170758129</v>
      </c>
      <c r="F2699" s="2" t="s">
        <v>17</v>
      </c>
      <c r="G2699" s="2" t="s">
        <v>18</v>
      </c>
      <c r="H2699" s="2" t="s">
        <v>18</v>
      </c>
      <c r="I2699" s="2" t="s">
        <v>63</v>
      </c>
      <c r="J2699" s="2" t="s">
        <v>93</v>
      </c>
      <c r="K2699" s="2" t="s">
        <v>1897</v>
      </c>
      <c r="L2699" s="3">
        <v>0.38055555555555554</v>
      </c>
      <c r="M2699" s="2" t="s">
        <v>397</v>
      </c>
      <c r="N2699" s="2" t="s">
        <v>500</v>
      </c>
      <c r="O2699" s="2"/>
    </row>
    <row r="2700" spans="1:15" x14ac:dyDescent="0.25">
      <c r="A2700" s="2" t="s">
        <v>15</v>
      </c>
      <c r="B2700" s="2" t="str">
        <f>"FES1162770970"</f>
        <v>FES1162770970</v>
      </c>
      <c r="C2700" s="2" t="s">
        <v>1762</v>
      </c>
      <c r="D2700" s="2">
        <v>1</v>
      </c>
      <c r="E2700" s="2" t="str">
        <f>"2170758107"</f>
        <v>2170758107</v>
      </c>
      <c r="F2700" s="2" t="s">
        <v>17</v>
      </c>
      <c r="G2700" s="2" t="s">
        <v>18</v>
      </c>
      <c r="H2700" s="2" t="s">
        <v>25</v>
      </c>
      <c r="I2700" s="2" t="s">
        <v>39</v>
      </c>
      <c r="J2700" s="2" t="s">
        <v>40</v>
      </c>
      <c r="K2700" s="2" t="s">
        <v>1897</v>
      </c>
      <c r="L2700" s="3">
        <v>0.41666666666666669</v>
      </c>
      <c r="M2700" s="2" t="s">
        <v>991</v>
      </c>
      <c r="N2700" s="2" t="s">
        <v>500</v>
      </c>
      <c r="O2700" s="2"/>
    </row>
    <row r="2701" spans="1:15" x14ac:dyDescent="0.25">
      <c r="A2701" s="2" t="s">
        <v>15</v>
      </c>
      <c r="B2701" s="2" t="str">
        <f>"FES1162770700"</f>
        <v>FES1162770700</v>
      </c>
      <c r="C2701" s="2" t="s">
        <v>1762</v>
      </c>
      <c r="D2701" s="2">
        <v>1</v>
      </c>
      <c r="E2701" s="2" t="str">
        <f>"2170757965"</f>
        <v>2170757965</v>
      </c>
      <c r="F2701" s="2" t="s">
        <v>17</v>
      </c>
      <c r="G2701" s="2" t="s">
        <v>18</v>
      </c>
      <c r="H2701" s="2" t="s">
        <v>18</v>
      </c>
      <c r="I2701" s="2" t="s">
        <v>46</v>
      </c>
      <c r="J2701" s="2" t="s">
        <v>470</v>
      </c>
      <c r="K2701" s="2" t="s">
        <v>1897</v>
      </c>
      <c r="L2701" s="3">
        <v>0.32291666666666669</v>
      </c>
      <c r="M2701" s="2" t="s">
        <v>1200</v>
      </c>
      <c r="N2701" s="2" t="s">
        <v>500</v>
      </c>
      <c r="O2701" s="2"/>
    </row>
    <row r="2702" spans="1:15" x14ac:dyDescent="0.25">
      <c r="A2702" s="2" t="s">
        <v>15</v>
      </c>
      <c r="B2702" s="2" t="str">
        <f>"FES1162770672"</f>
        <v>FES1162770672</v>
      </c>
      <c r="C2702" s="2" t="s">
        <v>1762</v>
      </c>
      <c r="D2702" s="2">
        <v>1</v>
      </c>
      <c r="E2702" s="2" t="str">
        <f>"2170757928"</f>
        <v>2170757928</v>
      </c>
      <c r="F2702" s="2" t="s">
        <v>17</v>
      </c>
      <c r="G2702" s="2" t="s">
        <v>18</v>
      </c>
      <c r="H2702" s="2" t="s">
        <v>18</v>
      </c>
      <c r="I2702" s="2" t="s">
        <v>63</v>
      </c>
      <c r="J2702" s="2" t="s">
        <v>93</v>
      </c>
      <c r="K2702" s="2" t="s">
        <v>1897</v>
      </c>
      <c r="L2702" s="3">
        <v>0.37916666666666665</v>
      </c>
      <c r="M2702" s="2" t="s">
        <v>300</v>
      </c>
      <c r="N2702" s="2" t="s">
        <v>500</v>
      </c>
      <c r="O2702" s="2"/>
    </row>
    <row r="2703" spans="1:15" x14ac:dyDescent="0.25">
      <c r="A2703" s="2" t="s">
        <v>15</v>
      </c>
      <c r="B2703" s="2" t="str">
        <f>"FES1162770827"</f>
        <v>FES1162770827</v>
      </c>
      <c r="C2703" s="2" t="s">
        <v>1762</v>
      </c>
      <c r="D2703" s="2">
        <v>1</v>
      </c>
      <c r="E2703" s="2" t="str">
        <f>"2170756707"</f>
        <v>2170756707</v>
      </c>
      <c r="F2703" s="2" t="s">
        <v>17</v>
      </c>
      <c r="G2703" s="2" t="s">
        <v>18</v>
      </c>
      <c r="H2703" s="2" t="s">
        <v>25</v>
      </c>
      <c r="I2703" s="2" t="s">
        <v>26</v>
      </c>
      <c r="J2703" s="2" t="s">
        <v>75</v>
      </c>
      <c r="K2703" s="2" t="s">
        <v>1897</v>
      </c>
      <c r="L2703" s="3">
        <v>0.32500000000000001</v>
      </c>
      <c r="M2703" s="2" t="s">
        <v>1329</v>
      </c>
      <c r="N2703" s="2" t="s">
        <v>500</v>
      </c>
      <c r="O2703" s="2"/>
    </row>
    <row r="2704" spans="1:15" x14ac:dyDescent="0.25">
      <c r="A2704" s="2" t="s">
        <v>15</v>
      </c>
      <c r="B2704" s="2" t="str">
        <f>"FES1162770774"</f>
        <v>FES1162770774</v>
      </c>
      <c r="C2704" s="2" t="s">
        <v>1762</v>
      </c>
      <c r="D2704" s="2">
        <v>2</v>
      </c>
      <c r="E2704" s="2" t="str">
        <f>"2170751325"</f>
        <v>2170751325</v>
      </c>
      <c r="F2704" s="2" t="s">
        <v>205</v>
      </c>
      <c r="G2704" s="2" t="s">
        <v>206</v>
      </c>
      <c r="H2704" s="2" t="s">
        <v>206</v>
      </c>
      <c r="I2704" s="2" t="s">
        <v>612</v>
      </c>
      <c r="J2704" s="2" t="s">
        <v>1126</v>
      </c>
      <c r="K2704" s="2" t="s">
        <v>1897</v>
      </c>
      <c r="L2704" s="3">
        <v>0.60416666666666663</v>
      </c>
      <c r="M2704" s="2" t="s">
        <v>941</v>
      </c>
      <c r="N2704" s="2" t="s">
        <v>500</v>
      </c>
      <c r="O2704" s="2"/>
    </row>
    <row r="2705" spans="1:15" x14ac:dyDescent="0.25">
      <c r="A2705" s="2" t="s">
        <v>15</v>
      </c>
      <c r="B2705" s="2" t="str">
        <f>"FES1162770722"</f>
        <v>FES1162770722</v>
      </c>
      <c r="C2705" s="2" t="s">
        <v>1762</v>
      </c>
      <c r="D2705" s="2">
        <v>1</v>
      </c>
      <c r="E2705" s="2" t="str">
        <f>"2170755984"</f>
        <v>2170755984</v>
      </c>
      <c r="F2705" s="2" t="s">
        <v>17</v>
      </c>
      <c r="G2705" s="2" t="s">
        <v>18</v>
      </c>
      <c r="H2705" s="2" t="s">
        <v>18</v>
      </c>
      <c r="I2705" s="2" t="s">
        <v>63</v>
      </c>
      <c r="J2705" s="2" t="s">
        <v>620</v>
      </c>
      <c r="K2705" s="2" t="s">
        <v>1897</v>
      </c>
      <c r="L2705" s="3">
        <v>0.41388888888888892</v>
      </c>
      <c r="M2705" s="2" t="s">
        <v>1974</v>
      </c>
      <c r="N2705" s="2" t="s">
        <v>500</v>
      </c>
      <c r="O2705" s="2"/>
    </row>
    <row r="2706" spans="1:15" x14ac:dyDescent="0.25">
      <c r="A2706" s="2" t="s">
        <v>15</v>
      </c>
      <c r="B2706" s="2" t="str">
        <f>"FES1162770840"</f>
        <v>FES1162770840</v>
      </c>
      <c r="C2706" s="2" t="s">
        <v>1762</v>
      </c>
      <c r="D2706" s="2">
        <v>1</v>
      </c>
      <c r="E2706" s="2" t="str">
        <f>"2170757661"</f>
        <v>2170757661</v>
      </c>
      <c r="F2706" s="2" t="s">
        <v>17</v>
      </c>
      <c r="G2706" s="2" t="s">
        <v>18</v>
      </c>
      <c r="H2706" s="2" t="s">
        <v>18</v>
      </c>
      <c r="I2706" s="2" t="s">
        <v>63</v>
      </c>
      <c r="J2706" s="2" t="s">
        <v>93</v>
      </c>
      <c r="K2706" s="2" t="s">
        <v>1897</v>
      </c>
      <c r="L2706" s="3">
        <v>0.38125000000000003</v>
      </c>
      <c r="M2706" s="2" t="s">
        <v>210</v>
      </c>
      <c r="N2706" s="2" t="s">
        <v>500</v>
      </c>
      <c r="O2706" s="2"/>
    </row>
    <row r="2707" spans="1:15" x14ac:dyDescent="0.25">
      <c r="A2707" s="2" t="s">
        <v>15</v>
      </c>
      <c r="B2707" s="2" t="str">
        <f>"FES1162770677"</f>
        <v>FES1162770677</v>
      </c>
      <c r="C2707" s="2" t="s">
        <v>1762</v>
      </c>
      <c r="D2707" s="2">
        <v>1</v>
      </c>
      <c r="E2707" s="2" t="str">
        <f>"2170757938"</f>
        <v>2170757938</v>
      </c>
      <c r="F2707" s="2" t="s">
        <v>17</v>
      </c>
      <c r="G2707" s="2" t="s">
        <v>18</v>
      </c>
      <c r="H2707" s="2" t="s">
        <v>18</v>
      </c>
      <c r="I2707" s="2" t="s">
        <v>1664</v>
      </c>
      <c r="J2707" s="2" t="s">
        <v>1929</v>
      </c>
      <c r="K2707" s="2" t="s">
        <v>1897</v>
      </c>
      <c r="L2707" s="3">
        <v>0.3979166666666667</v>
      </c>
      <c r="M2707" s="2" t="s">
        <v>1975</v>
      </c>
      <c r="N2707" s="2" t="s">
        <v>500</v>
      </c>
      <c r="O2707" s="2"/>
    </row>
    <row r="2708" spans="1:15" x14ac:dyDescent="0.25">
      <c r="A2708" s="2" t="s">
        <v>15</v>
      </c>
      <c r="B2708" s="2" t="str">
        <f>"FES1162770753"</f>
        <v>FES1162770753</v>
      </c>
      <c r="C2708" s="2" t="s">
        <v>1762</v>
      </c>
      <c r="D2708" s="2">
        <v>1</v>
      </c>
      <c r="E2708" s="2" t="str">
        <f>"2170757608"</f>
        <v>2170757608</v>
      </c>
      <c r="F2708" s="2" t="s">
        <v>17</v>
      </c>
      <c r="G2708" s="2" t="s">
        <v>18</v>
      </c>
      <c r="H2708" s="2" t="s">
        <v>88</v>
      </c>
      <c r="I2708" s="2" t="s">
        <v>109</v>
      </c>
      <c r="J2708" s="2" t="s">
        <v>1684</v>
      </c>
      <c r="K2708" s="2" t="s">
        <v>1897</v>
      </c>
      <c r="L2708" s="3">
        <v>0.43611111111111112</v>
      </c>
      <c r="M2708" s="2" t="s">
        <v>1976</v>
      </c>
      <c r="N2708" s="2" t="s">
        <v>500</v>
      </c>
      <c r="O2708" s="2"/>
    </row>
    <row r="2709" spans="1:15" x14ac:dyDescent="0.25">
      <c r="A2709" s="2" t="s">
        <v>15</v>
      </c>
      <c r="B2709" s="2" t="str">
        <f>"FES1162770721"</f>
        <v>FES1162770721</v>
      </c>
      <c r="C2709" s="2" t="s">
        <v>1762</v>
      </c>
      <c r="D2709" s="2">
        <v>1</v>
      </c>
      <c r="E2709" s="2" t="str">
        <f>"2170755970"</f>
        <v>2170755970</v>
      </c>
      <c r="F2709" s="2" t="s">
        <v>17</v>
      </c>
      <c r="G2709" s="2" t="s">
        <v>18</v>
      </c>
      <c r="H2709" s="2" t="s">
        <v>25</v>
      </c>
      <c r="I2709" s="2" t="s">
        <v>26</v>
      </c>
      <c r="J2709" s="2" t="s">
        <v>605</v>
      </c>
      <c r="K2709" s="2" t="s">
        <v>1897</v>
      </c>
      <c r="L2709" s="3">
        <v>0.37222222222222223</v>
      </c>
      <c r="M2709" s="2" t="s">
        <v>1208</v>
      </c>
      <c r="N2709" s="2" t="s">
        <v>500</v>
      </c>
      <c r="O2709" s="2"/>
    </row>
    <row r="2710" spans="1:15" x14ac:dyDescent="0.25">
      <c r="A2710" s="2" t="s">
        <v>15</v>
      </c>
      <c r="B2710" s="2" t="str">
        <f>"FES1162770834"</f>
        <v>FES1162770834</v>
      </c>
      <c r="C2710" s="2" t="s">
        <v>1762</v>
      </c>
      <c r="D2710" s="2">
        <v>1</v>
      </c>
      <c r="E2710" s="2" t="str">
        <f>"2170756883"</f>
        <v>2170756883</v>
      </c>
      <c r="F2710" s="2" t="s">
        <v>17</v>
      </c>
      <c r="G2710" s="2" t="s">
        <v>18</v>
      </c>
      <c r="H2710" s="2" t="s">
        <v>18</v>
      </c>
      <c r="I2710" s="2" t="s">
        <v>63</v>
      </c>
      <c r="J2710" s="2" t="s">
        <v>93</v>
      </c>
      <c r="K2710" s="2" t="s">
        <v>1897</v>
      </c>
      <c r="L2710" s="3">
        <v>0.37847222222222227</v>
      </c>
      <c r="M2710" s="2" t="s">
        <v>300</v>
      </c>
      <c r="N2710" s="2" t="s">
        <v>500</v>
      </c>
      <c r="O2710" s="2"/>
    </row>
    <row r="2711" spans="1:15" x14ac:dyDescent="0.25">
      <c r="A2711" s="2" t="s">
        <v>15</v>
      </c>
      <c r="B2711" s="2" t="str">
        <f>"FES1162770965"</f>
        <v>FES1162770965</v>
      </c>
      <c r="C2711" s="2" t="s">
        <v>1762</v>
      </c>
      <c r="D2711" s="2">
        <v>1</v>
      </c>
      <c r="E2711" s="2" t="str">
        <f>"2170758095"</f>
        <v>2170758095</v>
      </c>
      <c r="F2711" s="2" t="s">
        <v>17</v>
      </c>
      <c r="G2711" s="2" t="s">
        <v>18</v>
      </c>
      <c r="H2711" s="2" t="s">
        <v>25</v>
      </c>
      <c r="I2711" s="2" t="s">
        <v>26</v>
      </c>
      <c r="J2711" s="2" t="s">
        <v>1930</v>
      </c>
      <c r="K2711" s="2" t="s">
        <v>1897</v>
      </c>
      <c r="L2711" s="3">
        <v>0.47222222222222227</v>
      </c>
      <c r="M2711" s="2" t="s">
        <v>1977</v>
      </c>
      <c r="N2711" s="2" t="s">
        <v>500</v>
      </c>
      <c r="O2711" s="2"/>
    </row>
    <row r="2712" spans="1:15" x14ac:dyDescent="0.25">
      <c r="A2712" s="2" t="s">
        <v>15</v>
      </c>
      <c r="B2712" s="2" t="str">
        <f>"FES1162770899"</f>
        <v>FES1162770899</v>
      </c>
      <c r="C2712" s="2" t="s">
        <v>1762</v>
      </c>
      <c r="D2712" s="2">
        <v>1</v>
      </c>
      <c r="E2712" s="2" t="str">
        <f>"2170757517"</f>
        <v>2170757517</v>
      </c>
      <c r="F2712" s="2" t="s">
        <v>17</v>
      </c>
      <c r="G2712" s="2" t="s">
        <v>18</v>
      </c>
      <c r="H2712" s="2" t="s">
        <v>25</v>
      </c>
      <c r="I2712" s="2" t="s">
        <v>26</v>
      </c>
      <c r="J2712" s="2" t="s">
        <v>27</v>
      </c>
      <c r="K2712" s="2" t="s">
        <v>1897</v>
      </c>
      <c r="L2712" s="3">
        <v>0.4152777777777778</v>
      </c>
      <c r="M2712" s="2" t="s">
        <v>521</v>
      </c>
      <c r="N2712" s="2" t="s">
        <v>500</v>
      </c>
      <c r="O2712" s="2"/>
    </row>
    <row r="2713" spans="1:15" x14ac:dyDescent="0.25">
      <c r="A2713" s="2" t="s">
        <v>15</v>
      </c>
      <c r="B2713" s="2" t="str">
        <f>"FES1162770961"</f>
        <v>FES1162770961</v>
      </c>
      <c r="C2713" s="2" t="s">
        <v>1762</v>
      </c>
      <c r="D2713" s="2">
        <v>1</v>
      </c>
      <c r="E2713" s="2" t="str">
        <f>"2170757478"</f>
        <v>2170757478</v>
      </c>
      <c r="F2713" s="2" t="s">
        <v>17</v>
      </c>
      <c r="G2713" s="2" t="s">
        <v>18</v>
      </c>
      <c r="H2713" s="2" t="s">
        <v>25</v>
      </c>
      <c r="I2713" s="2" t="s">
        <v>42</v>
      </c>
      <c r="J2713" s="2" t="s">
        <v>872</v>
      </c>
      <c r="K2713" s="2" t="s">
        <v>1897</v>
      </c>
      <c r="L2713" s="3">
        <v>0.51250000000000007</v>
      </c>
      <c r="M2713" s="2" t="s">
        <v>1978</v>
      </c>
      <c r="N2713" s="2" t="s">
        <v>500</v>
      </c>
      <c r="O2713" s="2"/>
    </row>
    <row r="2714" spans="1:15" x14ac:dyDescent="0.25">
      <c r="A2714" s="2" t="s">
        <v>15</v>
      </c>
      <c r="B2714" s="2" t="str">
        <f>"FES1162770873"</f>
        <v>FES1162770873</v>
      </c>
      <c r="C2714" s="2" t="s">
        <v>1762</v>
      </c>
      <c r="D2714" s="2">
        <v>1</v>
      </c>
      <c r="E2714" s="2" t="str">
        <f>"2170756643"</f>
        <v>2170756643</v>
      </c>
      <c r="F2714" s="2" t="s">
        <v>17</v>
      </c>
      <c r="G2714" s="2" t="s">
        <v>18</v>
      </c>
      <c r="H2714" s="2" t="s">
        <v>18</v>
      </c>
      <c r="I2714" s="2" t="s">
        <v>65</v>
      </c>
      <c r="J2714" s="2" t="s">
        <v>66</v>
      </c>
      <c r="K2714" s="2" t="s">
        <v>1897</v>
      </c>
      <c r="L2714" s="3">
        <v>0.3215277777777778</v>
      </c>
      <c r="M2714" s="2" t="s">
        <v>189</v>
      </c>
      <c r="N2714" s="2" t="s">
        <v>500</v>
      </c>
      <c r="O2714" s="2"/>
    </row>
    <row r="2715" spans="1:15" x14ac:dyDescent="0.25">
      <c r="A2715" s="2" t="s">
        <v>15</v>
      </c>
      <c r="B2715" s="2" t="str">
        <f>"FES1162770946"</f>
        <v>FES1162770946</v>
      </c>
      <c r="C2715" s="2" t="s">
        <v>1762</v>
      </c>
      <c r="D2715" s="2">
        <v>1</v>
      </c>
      <c r="E2715" s="2" t="str">
        <f>"2170757919"</f>
        <v>2170757919</v>
      </c>
      <c r="F2715" s="2" t="s">
        <v>17</v>
      </c>
      <c r="G2715" s="2" t="s">
        <v>18</v>
      </c>
      <c r="H2715" s="2" t="s">
        <v>18</v>
      </c>
      <c r="I2715" s="2" t="s">
        <v>63</v>
      </c>
      <c r="J2715" s="2" t="s">
        <v>1119</v>
      </c>
      <c r="K2715" s="2" t="s">
        <v>1897</v>
      </c>
      <c r="L2715" s="3">
        <v>0.33333333333333331</v>
      </c>
      <c r="M2715" s="2" t="s">
        <v>1162</v>
      </c>
      <c r="N2715" s="2" t="s">
        <v>500</v>
      </c>
      <c r="O2715" s="2"/>
    </row>
    <row r="2716" spans="1:15" x14ac:dyDescent="0.25">
      <c r="A2716" s="2" t="s">
        <v>15</v>
      </c>
      <c r="B2716" s="2" t="str">
        <f>"FES1162770866"</f>
        <v>FES1162770866</v>
      </c>
      <c r="C2716" s="2" t="s">
        <v>1762</v>
      </c>
      <c r="D2716" s="2">
        <v>1</v>
      </c>
      <c r="E2716" s="2" t="str">
        <f>"2170756509"</f>
        <v>2170756509</v>
      </c>
      <c r="F2716" s="2" t="s">
        <v>17</v>
      </c>
      <c r="G2716" s="2" t="s">
        <v>18</v>
      </c>
      <c r="H2716" s="2" t="s">
        <v>18</v>
      </c>
      <c r="I2716" s="2" t="s">
        <v>429</v>
      </c>
      <c r="J2716" s="2" t="s">
        <v>1931</v>
      </c>
      <c r="K2716" s="2" t="s">
        <v>1897</v>
      </c>
      <c r="L2716" s="3">
        <v>0.38750000000000001</v>
      </c>
      <c r="M2716" s="2" t="s">
        <v>1979</v>
      </c>
      <c r="N2716" s="2" t="s">
        <v>500</v>
      </c>
      <c r="O2716" s="2"/>
    </row>
    <row r="2717" spans="1:15" x14ac:dyDescent="0.25">
      <c r="A2717" s="2" t="s">
        <v>15</v>
      </c>
      <c r="B2717" s="2" t="str">
        <f>"FES1162770636"</f>
        <v>FES1162770636</v>
      </c>
      <c r="C2717" s="2" t="s">
        <v>1762</v>
      </c>
      <c r="D2717" s="2">
        <v>1</v>
      </c>
      <c r="E2717" s="2" t="str">
        <f>"2170756707"</f>
        <v>2170756707</v>
      </c>
      <c r="F2717" s="2" t="s">
        <v>17</v>
      </c>
      <c r="G2717" s="2" t="s">
        <v>18</v>
      </c>
      <c r="H2717" s="2" t="s">
        <v>25</v>
      </c>
      <c r="I2717" s="2" t="s">
        <v>26</v>
      </c>
      <c r="J2717" s="2" t="s">
        <v>75</v>
      </c>
      <c r="K2717" s="2" t="s">
        <v>1897</v>
      </c>
      <c r="L2717" s="3">
        <v>0.32430555555555557</v>
      </c>
      <c r="M2717" s="2" t="s">
        <v>1329</v>
      </c>
      <c r="N2717" s="2" t="s">
        <v>500</v>
      </c>
      <c r="O2717" s="2"/>
    </row>
    <row r="2718" spans="1:15" x14ac:dyDescent="0.25">
      <c r="A2718" s="2" t="s">
        <v>15</v>
      </c>
      <c r="B2718" s="2" t="str">
        <f>"009940283623"</f>
        <v>009940283623</v>
      </c>
      <c r="C2718" s="2" t="s">
        <v>1762</v>
      </c>
      <c r="D2718" s="2">
        <v>1</v>
      </c>
      <c r="E2718" s="2" t="str">
        <f>"1162770605"</f>
        <v>1162770605</v>
      </c>
      <c r="F2718" s="2" t="s">
        <v>17</v>
      </c>
      <c r="G2718" s="2" t="s">
        <v>18</v>
      </c>
      <c r="H2718" s="2" t="s">
        <v>88</v>
      </c>
      <c r="I2718" s="2" t="s">
        <v>109</v>
      </c>
      <c r="J2718" s="2" t="s">
        <v>155</v>
      </c>
      <c r="K2718" s="2" t="s">
        <v>1897</v>
      </c>
      <c r="L2718" s="3">
        <v>0.36805555555555558</v>
      </c>
      <c r="M2718" s="2" t="s">
        <v>251</v>
      </c>
      <c r="N2718" s="2" t="s">
        <v>500</v>
      </c>
      <c r="O2718" s="2"/>
    </row>
    <row r="2719" spans="1:15" x14ac:dyDescent="0.25">
      <c r="A2719" s="2" t="s">
        <v>15</v>
      </c>
      <c r="B2719" s="2" t="str">
        <f>"FES1162770650"</f>
        <v>FES1162770650</v>
      </c>
      <c r="C2719" s="2" t="s">
        <v>1762</v>
      </c>
      <c r="D2719" s="2">
        <v>1</v>
      </c>
      <c r="E2719" s="2" t="str">
        <f>"2170757457"</f>
        <v>2170757457</v>
      </c>
      <c r="F2719" s="2" t="s">
        <v>17</v>
      </c>
      <c r="G2719" s="2" t="s">
        <v>18</v>
      </c>
      <c r="H2719" s="2" t="s">
        <v>18</v>
      </c>
      <c r="I2719" s="2" t="s">
        <v>63</v>
      </c>
      <c r="J2719" s="2" t="s">
        <v>1449</v>
      </c>
      <c r="K2719" s="2" t="s">
        <v>1897</v>
      </c>
      <c r="L2719" s="3">
        <v>0.41180555555555554</v>
      </c>
      <c r="M2719" s="2" t="s">
        <v>1564</v>
      </c>
      <c r="N2719" s="2" t="s">
        <v>500</v>
      </c>
      <c r="O2719" s="2"/>
    </row>
    <row r="2720" spans="1:15" x14ac:dyDescent="0.25">
      <c r="A2720" s="2" t="s">
        <v>15</v>
      </c>
      <c r="B2720" s="2" t="str">
        <f>"FES1162770994"</f>
        <v>FES1162770994</v>
      </c>
      <c r="C2720" s="2" t="s">
        <v>1762</v>
      </c>
      <c r="D2720" s="2">
        <v>1</v>
      </c>
      <c r="E2720" s="2" t="str">
        <f>"2170758137"</f>
        <v>2170758137</v>
      </c>
      <c r="F2720" s="2" t="s">
        <v>17</v>
      </c>
      <c r="G2720" s="2" t="s">
        <v>18</v>
      </c>
      <c r="H2720" s="2" t="s">
        <v>18</v>
      </c>
      <c r="I2720" s="2" t="s">
        <v>46</v>
      </c>
      <c r="J2720" s="2" t="s">
        <v>139</v>
      </c>
      <c r="K2720" s="2" t="s">
        <v>1897</v>
      </c>
      <c r="L2720" s="3">
        <v>0.30902777777777779</v>
      </c>
      <c r="M2720" s="2" t="s">
        <v>838</v>
      </c>
      <c r="N2720" s="2" t="s">
        <v>500</v>
      </c>
      <c r="O2720" s="2"/>
    </row>
    <row r="2721" spans="1:15" x14ac:dyDescent="0.25">
      <c r="A2721" s="2" t="s">
        <v>15</v>
      </c>
      <c r="B2721" s="2" t="str">
        <f>"FES1162770791"</f>
        <v>FES1162770791</v>
      </c>
      <c r="C2721" s="2" t="s">
        <v>1762</v>
      </c>
      <c r="D2721" s="2">
        <v>1</v>
      </c>
      <c r="E2721" s="2" t="str">
        <f>"2170755745"</f>
        <v>2170755745</v>
      </c>
      <c r="F2721" s="2" t="s">
        <v>17</v>
      </c>
      <c r="G2721" s="2" t="s">
        <v>18</v>
      </c>
      <c r="H2721" s="2" t="s">
        <v>88</v>
      </c>
      <c r="I2721" s="2" t="s">
        <v>109</v>
      </c>
      <c r="J2721" s="2" t="s">
        <v>141</v>
      </c>
      <c r="K2721" s="2" t="s">
        <v>1897</v>
      </c>
      <c r="L2721" s="3">
        <v>0.3444444444444445</v>
      </c>
      <c r="M2721" s="2" t="s">
        <v>971</v>
      </c>
      <c r="N2721" s="2" t="s">
        <v>500</v>
      </c>
      <c r="O2721" s="2"/>
    </row>
    <row r="2722" spans="1:15" x14ac:dyDescent="0.25">
      <c r="A2722" s="2" t="s">
        <v>15</v>
      </c>
      <c r="B2722" s="2" t="str">
        <f>"FES1162770875"</f>
        <v>FES1162770875</v>
      </c>
      <c r="C2722" s="2" t="s">
        <v>1762</v>
      </c>
      <c r="D2722" s="2">
        <v>1</v>
      </c>
      <c r="E2722" s="2" t="str">
        <f>"2170757457"</f>
        <v>2170757457</v>
      </c>
      <c r="F2722" s="2" t="s">
        <v>17</v>
      </c>
      <c r="G2722" s="2" t="s">
        <v>18</v>
      </c>
      <c r="H2722" s="2" t="s">
        <v>18</v>
      </c>
      <c r="I2722" s="2" t="s">
        <v>63</v>
      </c>
      <c r="J2722" s="2" t="s">
        <v>1449</v>
      </c>
      <c r="K2722" s="2" t="s">
        <v>1897</v>
      </c>
      <c r="L2722" s="3">
        <v>0.41111111111111115</v>
      </c>
      <c r="M2722" s="2" t="s">
        <v>1564</v>
      </c>
      <c r="N2722" s="2" t="s">
        <v>500</v>
      </c>
      <c r="O2722" s="2"/>
    </row>
    <row r="2723" spans="1:15" x14ac:dyDescent="0.25">
      <c r="A2723" s="2" t="s">
        <v>15</v>
      </c>
      <c r="B2723" s="2" t="str">
        <f>"FES1162770902"</f>
        <v>FES1162770902</v>
      </c>
      <c r="C2723" s="2" t="s">
        <v>1762</v>
      </c>
      <c r="D2723" s="2">
        <v>1</v>
      </c>
      <c r="E2723" s="2" t="str">
        <f>"2170757991"</f>
        <v>2170757991</v>
      </c>
      <c r="F2723" s="2" t="s">
        <v>17</v>
      </c>
      <c r="G2723" s="2" t="s">
        <v>18</v>
      </c>
      <c r="H2723" s="2" t="s">
        <v>18</v>
      </c>
      <c r="I2723" s="2" t="s">
        <v>46</v>
      </c>
      <c r="J2723" s="2" t="s">
        <v>1932</v>
      </c>
      <c r="K2723" s="2" t="s">
        <v>1897</v>
      </c>
      <c r="L2723" s="3">
        <v>0.3263888888888889</v>
      </c>
      <c r="M2723" s="2" t="s">
        <v>1980</v>
      </c>
      <c r="N2723" s="2" t="s">
        <v>500</v>
      </c>
      <c r="O2723" s="2"/>
    </row>
    <row r="2724" spans="1:15" x14ac:dyDescent="0.25">
      <c r="A2724" s="2" t="s">
        <v>15</v>
      </c>
      <c r="B2724" s="2" t="str">
        <f>"FES1162770924"</f>
        <v>FES1162770924</v>
      </c>
      <c r="C2724" s="2" t="s">
        <v>1762</v>
      </c>
      <c r="D2724" s="2">
        <v>1</v>
      </c>
      <c r="E2724" s="2" t="str">
        <f>"2170758033"</f>
        <v>2170758033</v>
      </c>
      <c r="F2724" s="2" t="s">
        <v>17</v>
      </c>
      <c r="G2724" s="2" t="s">
        <v>18</v>
      </c>
      <c r="H2724" s="2" t="s">
        <v>18</v>
      </c>
      <c r="I2724" s="2" t="s">
        <v>63</v>
      </c>
      <c r="J2724" s="2" t="s">
        <v>93</v>
      </c>
      <c r="K2724" s="2" t="s">
        <v>1897</v>
      </c>
      <c r="L2724" s="3">
        <v>0.38125000000000003</v>
      </c>
      <c r="M2724" s="2" t="s">
        <v>210</v>
      </c>
      <c r="N2724" s="2" t="s">
        <v>500</v>
      </c>
      <c r="O2724" s="2"/>
    </row>
    <row r="2725" spans="1:15" x14ac:dyDescent="0.25">
      <c r="A2725" s="2" t="s">
        <v>15</v>
      </c>
      <c r="B2725" s="2" t="str">
        <f>"FES1162770936"</f>
        <v>FES1162770936</v>
      </c>
      <c r="C2725" s="2" t="s">
        <v>1762</v>
      </c>
      <c r="D2725" s="2">
        <v>1</v>
      </c>
      <c r="E2725" s="2" t="str">
        <f>"2170757961"</f>
        <v>2170757961</v>
      </c>
      <c r="F2725" s="2" t="s">
        <v>17</v>
      </c>
      <c r="G2725" s="2" t="s">
        <v>18</v>
      </c>
      <c r="H2725" s="2" t="s">
        <v>88</v>
      </c>
      <c r="I2725" s="2" t="s">
        <v>109</v>
      </c>
      <c r="J2725" s="2" t="s">
        <v>1039</v>
      </c>
      <c r="K2725" s="2" t="s">
        <v>1897</v>
      </c>
      <c r="L2725" s="3">
        <v>0.40972222222222227</v>
      </c>
      <c r="M2725" s="2" t="s">
        <v>710</v>
      </c>
      <c r="N2725" s="2" t="s">
        <v>500</v>
      </c>
      <c r="O2725" s="2"/>
    </row>
    <row r="2726" spans="1:15" x14ac:dyDescent="0.25">
      <c r="A2726" s="2" t="s">
        <v>15</v>
      </c>
      <c r="B2726" s="2" t="str">
        <f>"FES1162770982"</f>
        <v>FES1162770982</v>
      </c>
      <c r="C2726" s="2" t="s">
        <v>1762</v>
      </c>
      <c r="D2726" s="2">
        <v>1</v>
      </c>
      <c r="E2726" s="2" t="str">
        <f>"2170758125"</f>
        <v>2170758125</v>
      </c>
      <c r="F2726" s="2" t="s">
        <v>17</v>
      </c>
      <c r="G2726" s="2" t="s">
        <v>18</v>
      </c>
      <c r="H2726" s="2" t="s">
        <v>88</v>
      </c>
      <c r="I2726" s="2" t="s">
        <v>109</v>
      </c>
      <c r="J2726" s="2" t="s">
        <v>141</v>
      </c>
      <c r="K2726" s="2" t="s">
        <v>1897</v>
      </c>
      <c r="L2726" s="3">
        <v>0.34583333333333338</v>
      </c>
      <c r="M2726" s="2" t="s">
        <v>1981</v>
      </c>
      <c r="N2726" s="2" t="s">
        <v>500</v>
      </c>
      <c r="O2726" s="2"/>
    </row>
    <row r="2727" spans="1:15" x14ac:dyDescent="0.25">
      <c r="A2727" s="2" t="s">
        <v>15</v>
      </c>
      <c r="B2727" s="2" t="str">
        <f>"FES1162770941"</f>
        <v>FES1162770941</v>
      </c>
      <c r="C2727" s="2" t="s">
        <v>1762</v>
      </c>
      <c r="D2727" s="2">
        <v>1</v>
      </c>
      <c r="E2727" s="2" t="str">
        <f>"2170758058"</f>
        <v>2170758058</v>
      </c>
      <c r="F2727" s="2" t="s">
        <v>17</v>
      </c>
      <c r="G2727" s="2" t="s">
        <v>18</v>
      </c>
      <c r="H2727" s="2" t="s">
        <v>88</v>
      </c>
      <c r="I2727" s="2" t="s">
        <v>109</v>
      </c>
      <c r="J2727" s="2" t="s">
        <v>1933</v>
      </c>
      <c r="K2727" s="2" t="s">
        <v>1897</v>
      </c>
      <c r="L2727" s="3">
        <v>0.43055555555555558</v>
      </c>
      <c r="M2727" s="2" t="s">
        <v>1982</v>
      </c>
      <c r="N2727" s="2" t="s">
        <v>500</v>
      </c>
      <c r="O2727" s="2"/>
    </row>
    <row r="2728" spans="1:15" x14ac:dyDescent="0.25">
      <c r="A2728" s="2" t="s">
        <v>15</v>
      </c>
      <c r="B2728" s="2" t="str">
        <f>"FES1162771153"</f>
        <v>FES1162771153</v>
      </c>
      <c r="C2728" s="2" t="s">
        <v>1762</v>
      </c>
      <c r="D2728" s="2">
        <v>1</v>
      </c>
      <c r="E2728" s="2" t="str">
        <f>"2170756063"</f>
        <v>2170756063</v>
      </c>
      <c r="F2728" s="2" t="s">
        <v>17</v>
      </c>
      <c r="G2728" s="2" t="s">
        <v>18</v>
      </c>
      <c r="H2728" s="2" t="s">
        <v>78</v>
      </c>
      <c r="I2728" s="2" t="s">
        <v>159</v>
      </c>
      <c r="J2728" s="2" t="s">
        <v>402</v>
      </c>
      <c r="K2728" s="2" t="s">
        <v>1897</v>
      </c>
      <c r="L2728" s="3">
        <v>0.42152777777777778</v>
      </c>
      <c r="M2728" s="2" t="s">
        <v>729</v>
      </c>
      <c r="N2728" s="2" t="s">
        <v>500</v>
      </c>
      <c r="O2728" s="2"/>
    </row>
    <row r="2729" spans="1:15" x14ac:dyDescent="0.25">
      <c r="A2729" s="2" t="s">
        <v>15</v>
      </c>
      <c r="B2729" s="2" t="str">
        <f>"FES1162770868"</f>
        <v>FES1162770868</v>
      </c>
      <c r="C2729" s="2" t="s">
        <v>1762</v>
      </c>
      <c r="D2729" s="2">
        <v>1</v>
      </c>
      <c r="E2729" s="2" t="str">
        <f>"2170756528"</f>
        <v>2170756528</v>
      </c>
      <c r="F2729" s="2" t="s">
        <v>17</v>
      </c>
      <c r="G2729" s="2" t="s">
        <v>18</v>
      </c>
      <c r="H2729" s="2" t="s">
        <v>88</v>
      </c>
      <c r="I2729" s="2" t="s">
        <v>109</v>
      </c>
      <c r="J2729" s="2" t="s">
        <v>141</v>
      </c>
      <c r="K2729" s="2" t="s">
        <v>1897</v>
      </c>
      <c r="L2729" s="3">
        <v>0.3444444444444445</v>
      </c>
      <c r="M2729" s="2" t="s">
        <v>1981</v>
      </c>
      <c r="N2729" s="2" t="s">
        <v>500</v>
      </c>
      <c r="O2729" s="2"/>
    </row>
    <row r="2730" spans="1:15" x14ac:dyDescent="0.25">
      <c r="A2730" s="2" t="s">
        <v>15</v>
      </c>
      <c r="B2730" s="2" t="str">
        <f>"FES1162771129"</f>
        <v>FES1162771129</v>
      </c>
      <c r="C2730" s="2" t="s">
        <v>1762</v>
      </c>
      <c r="D2730" s="2">
        <v>1</v>
      </c>
      <c r="E2730" s="2" t="str">
        <f>"2170756618"</f>
        <v>2170756618</v>
      </c>
      <c r="F2730" s="2" t="s">
        <v>17</v>
      </c>
      <c r="G2730" s="2" t="s">
        <v>18</v>
      </c>
      <c r="H2730" s="2" t="s">
        <v>19</v>
      </c>
      <c r="I2730" s="2" t="s">
        <v>73</v>
      </c>
      <c r="J2730" s="2" t="s">
        <v>76</v>
      </c>
      <c r="K2730" s="2" t="s">
        <v>1897</v>
      </c>
      <c r="L2730" s="3">
        <v>0.58194444444444449</v>
      </c>
      <c r="M2730" s="2" t="s">
        <v>197</v>
      </c>
      <c r="N2730" s="2" t="s">
        <v>500</v>
      </c>
      <c r="O2730" s="2"/>
    </row>
    <row r="2731" spans="1:15" x14ac:dyDescent="0.25">
      <c r="A2731" s="2" t="s">
        <v>15</v>
      </c>
      <c r="B2731" s="2" t="str">
        <f>"FES1162770912"</f>
        <v>FES1162770912</v>
      </c>
      <c r="C2731" s="2" t="s">
        <v>1762</v>
      </c>
      <c r="D2731" s="2">
        <v>1</v>
      </c>
      <c r="E2731" s="2" t="str">
        <f>"2170758021"</f>
        <v>2170758021</v>
      </c>
      <c r="F2731" s="2" t="s">
        <v>17</v>
      </c>
      <c r="G2731" s="2" t="s">
        <v>18</v>
      </c>
      <c r="H2731" s="2" t="s">
        <v>484</v>
      </c>
      <c r="I2731" s="2" t="s">
        <v>675</v>
      </c>
      <c r="J2731" s="2" t="s">
        <v>1934</v>
      </c>
      <c r="K2731" s="2" t="s">
        <v>1897</v>
      </c>
      <c r="L2731" s="3">
        <v>0.39027777777777778</v>
      </c>
      <c r="M2731" s="2" t="s">
        <v>196</v>
      </c>
      <c r="N2731" s="2" t="s">
        <v>500</v>
      </c>
      <c r="O2731" s="2"/>
    </row>
    <row r="2732" spans="1:15" x14ac:dyDescent="0.25">
      <c r="A2732" s="2" t="s">
        <v>15</v>
      </c>
      <c r="B2732" s="2" t="str">
        <f>"FES1162770812"</f>
        <v>FES1162770812</v>
      </c>
      <c r="C2732" s="2" t="s">
        <v>1762</v>
      </c>
      <c r="D2732" s="2">
        <v>1</v>
      </c>
      <c r="E2732" s="2" t="str">
        <f>"21756543"</f>
        <v>21756543</v>
      </c>
      <c r="F2732" s="2" t="s">
        <v>17</v>
      </c>
      <c r="G2732" s="2" t="s">
        <v>18</v>
      </c>
      <c r="H2732" s="2" t="s">
        <v>88</v>
      </c>
      <c r="I2732" s="2" t="s">
        <v>109</v>
      </c>
      <c r="J2732" s="2" t="s">
        <v>1791</v>
      </c>
      <c r="K2732" s="2" t="s">
        <v>1897</v>
      </c>
      <c r="L2732" s="3">
        <v>0.40277777777777773</v>
      </c>
      <c r="M2732" s="2" t="s">
        <v>1845</v>
      </c>
      <c r="N2732" s="2" t="s">
        <v>500</v>
      </c>
      <c r="O2732" s="2"/>
    </row>
    <row r="2733" spans="1:15" x14ac:dyDescent="0.25">
      <c r="A2733" s="2" t="s">
        <v>15</v>
      </c>
      <c r="B2733" s="2" t="str">
        <f>"FES1162770858"</f>
        <v>FES1162770858</v>
      </c>
      <c r="C2733" s="2" t="s">
        <v>1762</v>
      </c>
      <c r="D2733" s="2">
        <v>1</v>
      </c>
      <c r="E2733" s="2" t="str">
        <f>"2170756423"</f>
        <v>2170756423</v>
      </c>
      <c r="F2733" s="2" t="s">
        <v>17</v>
      </c>
      <c r="G2733" s="2" t="s">
        <v>18</v>
      </c>
      <c r="H2733" s="2" t="s">
        <v>18</v>
      </c>
      <c r="I2733" s="2" t="s">
        <v>46</v>
      </c>
      <c r="J2733" s="2" t="s">
        <v>896</v>
      </c>
      <c r="K2733" s="2" t="s">
        <v>1897</v>
      </c>
      <c r="L2733" s="3">
        <v>0.31944444444444448</v>
      </c>
      <c r="M2733" s="2" t="s">
        <v>970</v>
      </c>
      <c r="N2733" s="2" t="s">
        <v>500</v>
      </c>
      <c r="O2733" s="2"/>
    </row>
    <row r="2734" spans="1:15" x14ac:dyDescent="0.25">
      <c r="A2734" s="2" t="s">
        <v>15</v>
      </c>
      <c r="B2734" s="2" t="str">
        <f>"FES1162771122"</f>
        <v>FES1162771122</v>
      </c>
      <c r="C2734" s="2" t="s">
        <v>1762</v>
      </c>
      <c r="D2734" s="2">
        <v>1</v>
      </c>
      <c r="E2734" s="2" t="str">
        <f>"2170756386"</f>
        <v>2170756386</v>
      </c>
      <c r="F2734" s="2" t="s">
        <v>17</v>
      </c>
      <c r="G2734" s="2" t="s">
        <v>18</v>
      </c>
      <c r="H2734" s="2" t="s">
        <v>19</v>
      </c>
      <c r="I2734" s="2" t="s">
        <v>111</v>
      </c>
      <c r="J2734" s="2" t="s">
        <v>143</v>
      </c>
      <c r="K2734" s="2" t="s">
        <v>1897</v>
      </c>
      <c r="L2734" s="3">
        <v>0.31180555555555556</v>
      </c>
      <c r="M2734" s="2" t="s">
        <v>144</v>
      </c>
      <c r="N2734" s="2" t="s">
        <v>500</v>
      </c>
      <c r="O2734" s="2"/>
    </row>
    <row r="2735" spans="1:15" x14ac:dyDescent="0.25">
      <c r="A2735" s="2" t="s">
        <v>15</v>
      </c>
      <c r="B2735" s="2" t="str">
        <f>"FES1162770962"</f>
        <v>FES1162770962</v>
      </c>
      <c r="C2735" s="2" t="s">
        <v>1762</v>
      </c>
      <c r="D2735" s="2">
        <v>1</v>
      </c>
      <c r="E2735" s="2" t="str">
        <f>"2170757643"</f>
        <v>2170757643</v>
      </c>
      <c r="F2735" s="2" t="s">
        <v>17</v>
      </c>
      <c r="G2735" s="2" t="s">
        <v>18</v>
      </c>
      <c r="H2735" s="2" t="s">
        <v>18</v>
      </c>
      <c r="I2735" s="2" t="s">
        <v>329</v>
      </c>
      <c r="J2735" s="2" t="s">
        <v>457</v>
      </c>
      <c r="K2735" s="2" t="s">
        <v>1897</v>
      </c>
      <c r="L2735" s="3">
        <v>0.4375</v>
      </c>
      <c r="M2735" s="2" t="s">
        <v>1983</v>
      </c>
      <c r="N2735" s="2" t="s">
        <v>500</v>
      </c>
      <c r="O2735" s="2"/>
    </row>
    <row r="2736" spans="1:15" x14ac:dyDescent="0.25">
      <c r="A2736" s="2" t="s">
        <v>15</v>
      </c>
      <c r="B2736" s="2" t="str">
        <f>"FES1162770874"</f>
        <v>FES1162770874</v>
      </c>
      <c r="C2736" s="2" t="s">
        <v>1762</v>
      </c>
      <c r="D2736" s="2">
        <v>1</v>
      </c>
      <c r="E2736" s="2" t="str">
        <f>"2170757295"</f>
        <v>2170757295</v>
      </c>
      <c r="F2736" s="2" t="s">
        <v>17</v>
      </c>
      <c r="G2736" s="2" t="s">
        <v>18</v>
      </c>
      <c r="H2736" s="2" t="s">
        <v>88</v>
      </c>
      <c r="I2736" s="2" t="s">
        <v>612</v>
      </c>
      <c r="J2736" s="2" t="s">
        <v>613</v>
      </c>
      <c r="K2736" s="2" t="s">
        <v>1897</v>
      </c>
      <c r="L2736" s="3">
        <v>0.64583333333333337</v>
      </c>
      <c r="M2736" s="2" t="s">
        <v>683</v>
      </c>
      <c r="N2736" s="2" t="s">
        <v>500</v>
      </c>
      <c r="O2736" s="2"/>
    </row>
    <row r="2737" spans="1:15" x14ac:dyDescent="0.25">
      <c r="A2737" s="2" t="s">
        <v>15</v>
      </c>
      <c r="B2737" s="2" t="str">
        <f>"FES1162770974"</f>
        <v>FES1162770974</v>
      </c>
      <c r="C2737" s="2" t="s">
        <v>1762</v>
      </c>
      <c r="D2737" s="2">
        <v>1</v>
      </c>
      <c r="E2737" s="2" t="str">
        <f>"2170758089"</f>
        <v>2170758089</v>
      </c>
      <c r="F2737" s="2" t="s">
        <v>17</v>
      </c>
      <c r="G2737" s="2" t="s">
        <v>18</v>
      </c>
      <c r="H2737" s="2" t="s">
        <v>1433</v>
      </c>
      <c r="I2737" s="2" t="s">
        <v>1434</v>
      </c>
      <c r="J2737" s="2" t="s">
        <v>1935</v>
      </c>
      <c r="K2737" s="2" t="s">
        <v>1897</v>
      </c>
      <c r="L2737" s="3">
        <v>0.41666666666666669</v>
      </c>
      <c r="M2737" s="2" t="s">
        <v>203</v>
      </c>
      <c r="N2737" s="2" t="s">
        <v>500</v>
      </c>
      <c r="O2737" s="2"/>
    </row>
    <row r="2738" spans="1:15" x14ac:dyDescent="0.25">
      <c r="A2738" s="2" t="s">
        <v>15</v>
      </c>
      <c r="B2738" s="2" t="str">
        <f>"FES1162770918"</f>
        <v>FES1162770918</v>
      </c>
      <c r="C2738" s="2" t="s">
        <v>1762</v>
      </c>
      <c r="D2738" s="2">
        <v>1</v>
      </c>
      <c r="E2738" s="2" t="str">
        <f>"2170758025"</f>
        <v>2170758025</v>
      </c>
      <c r="F2738" s="2" t="s">
        <v>17</v>
      </c>
      <c r="G2738" s="2" t="s">
        <v>18</v>
      </c>
      <c r="H2738" s="2" t="s">
        <v>18</v>
      </c>
      <c r="I2738" s="2" t="s">
        <v>105</v>
      </c>
      <c r="J2738" s="2" t="s">
        <v>106</v>
      </c>
      <c r="K2738" s="2" t="s">
        <v>1897</v>
      </c>
      <c r="L2738" s="3">
        <v>0.41666666666666669</v>
      </c>
      <c r="M2738" s="2" t="s">
        <v>176</v>
      </c>
      <c r="N2738" s="2" t="s">
        <v>500</v>
      </c>
      <c r="O2738" s="2"/>
    </row>
    <row r="2739" spans="1:15" x14ac:dyDescent="0.25">
      <c r="A2739" s="2" t="s">
        <v>15</v>
      </c>
      <c r="B2739" s="2" t="str">
        <f>"FES1162771013"</f>
        <v>FES1162771013</v>
      </c>
      <c r="C2739" s="2" t="s">
        <v>1762</v>
      </c>
      <c r="D2739" s="2">
        <v>1</v>
      </c>
      <c r="E2739" s="2" t="str">
        <f>"2170758022"</f>
        <v>2170758022</v>
      </c>
      <c r="F2739" s="2" t="s">
        <v>17</v>
      </c>
      <c r="G2739" s="2" t="s">
        <v>18</v>
      </c>
      <c r="H2739" s="2" t="s">
        <v>25</v>
      </c>
      <c r="I2739" s="2" t="s">
        <v>39</v>
      </c>
      <c r="J2739" s="2" t="s">
        <v>40</v>
      </c>
      <c r="K2739" s="2" t="s">
        <v>1897</v>
      </c>
      <c r="L2739" s="3">
        <v>0.41666666666666669</v>
      </c>
      <c r="M2739" s="2" t="s">
        <v>991</v>
      </c>
      <c r="N2739" s="2" t="s">
        <v>500</v>
      </c>
      <c r="O2739" s="2"/>
    </row>
    <row r="2740" spans="1:15" x14ac:dyDescent="0.25">
      <c r="A2740" s="2" t="s">
        <v>15</v>
      </c>
      <c r="B2740" s="2" t="str">
        <f>"FES1162771120"</f>
        <v>FES1162771120</v>
      </c>
      <c r="C2740" s="2" t="s">
        <v>1762</v>
      </c>
      <c r="D2740" s="2">
        <v>1</v>
      </c>
      <c r="E2740" s="2" t="str">
        <f>"2170756373"</f>
        <v>2170756373</v>
      </c>
      <c r="F2740" s="2" t="s">
        <v>17</v>
      </c>
      <c r="G2740" s="2" t="s">
        <v>18</v>
      </c>
      <c r="H2740" s="2" t="s">
        <v>25</v>
      </c>
      <c r="I2740" s="2" t="s">
        <v>26</v>
      </c>
      <c r="J2740" s="2" t="s">
        <v>27</v>
      </c>
      <c r="K2740" s="2" t="s">
        <v>1897</v>
      </c>
      <c r="L2740" s="3">
        <v>0.41597222222222219</v>
      </c>
      <c r="M2740" s="2" t="s">
        <v>521</v>
      </c>
      <c r="N2740" s="2" t="s">
        <v>500</v>
      </c>
      <c r="O2740" s="2"/>
    </row>
    <row r="2741" spans="1:15" x14ac:dyDescent="0.25">
      <c r="A2741" s="2" t="s">
        <v>15</v>
      </c>
      <c r="B2741" s="2" t="str">
        <f>"FES1162771192"</f>
        <v>FES1162771192</v>
      </c>
      <c r="C2741" s="2" t="s">
        <v>1762</v>
      </c>
      <c r="D2741" s="2">
        <v>1</v>
      </c>
      <c r="E2741" s="2" t="str">
        <f>"2170758239"</f>
        <v>2170758239</v>
      </c>
      <c r="F2741" s="2" t="s">
        <v>17</v>
      </c>
      <c r="G2741" s="2" t="s">
        <v>18</v>
      </c>
      <c r="H2741" s="2" t="s">
        <v>18</v>
      </c>
      <c r="I2741" s="2" t="s">
        <v>46</v>
      </c>
      <c r="J2741" s="2" t="s">
        <v>59</v>
      </c>
      <c r="K2741" s="2" t="s">
        <v>1897</v>
      </c>
      <c r="L2741" s="3">
        <v>0.3125</v>
      </c>
      <c r="M2741" s="2" t="s">
        <v>1984</v>
      </c>
      <c r="N2741" s="2" t="s">
        <v>500</v>
      </c>
      <c r="O2741" s="2"/>
    </row>
    <row r="2742" spans="1:15" x14ac:dyDescent="0.25">
      <c r="A2742" s="2" t="s">
        <v>15</v>
      </c>
      <c r="B2742" s="2" t="str">
        <f>"FES1162770986"</f>
        <v>FES1162770986</v>
      </c>
      <c r="C2742" s="2" t="s">
        <v>1762</v>
      </c>
      <c r="D2742" s="2">
        <v>1</v>
      </c>
      <c r="E2742" s="2" t="str">
        <f>"2170758128"</f>
        <v>2170758128</v>
      </c>
      <c r="F2742" s="2" t="s">
        <v>17</v>
      </c>
      <c r="G2742" s="2" t="s">
        <v>18</v>
      </c>
      <c r="H2742" s="2" t="s">
        <v>18</v>
      </c>
      <c r="I2742" s="2" t="s">
        <v>63</v>
      </c>
      <c r="J2742" s="2" t="s">
        <v>93</v>
      </c>
      <c r="K2742" s="2" t="s">
        <v>1897</v>
      </c>
      <c r="L2742" s="3">
        <v>0.38055555555555554</v>
      </c>
      <c r="M2742" s="2" t="s">
        <v>210</v>
      </c>
      <c r="N2742" s="2" t="s">
        <v>500</v>
      </c>
      <c r="O2742" s="2"/>
    </row>
    <row r="2743" spans="1:15" x14ac:dyDescent="0.25">
      <c r="A2743" s="2" t="s">
        <v>15</v>
      </c>
      <c r="B2743" s="2" t="str">
        <f>"FES1162771030"</f>
        <v>FES1162771030</v>
      </c>
      <c r="C2743" s="2" t="s">
        <v>1762</v>
      </c>
      <c r="D2743" s="2">
        <v>1</v>
      </c>
      <c r="E2743" s="2" t="str">
        <f>"2170758178"</f>
        <v>2170758178</v>
      </c>
      <c r="F2743" s="2" t="s">
        <v>17</v>
      </c>
      <c r="G2743" s="2" t="s">
        <v>18</v>
      </c>
      <c r="H2743" s="2" t="s">
        <v>19</v>
      </c>
      <c r="I2743" s="2" t="s">
        <v>111</v>
      </c>
      <c r="J2743" s="2" t="s">
        <v>1936</v>
      </c>
      <c r="K2743" s="2" t="s">
        <v>1897</v>
      </c>
      <c r="L2743" s="3">
        <v>0.33888888888888885</v>
      </c>
      <c r="M2743" s="2" t="s">
        <v>1937</v>
      </c>
      <c r="N2743" s="2" t="s">
        <v>500</v>
      </c>
      <c r="O2743" s="2"/>
    </row>
    <row r="2744" spans="1:15" x14ac:dyDescent="0.25">
      <c r="A2744" s="2" t="s">
        <v>15</v>
      </c>
      <c r="B2744" s="2" t="str">
        <f>"FES1162771056"</f>
        <v>FES1162771056</v>
      </c>
      <c r="C2744" s="2" t="s">
        <v>1762</v>
      </c>
      <c r="D2744" s="2">
        <v>1</v>
      </c>
      <c r="E2744" s="2" t="str">
        <f>"2170758221"</f>
        <v>2170758221</v>
      </c>
      <c r="F2744" s="2" t="s">
        <v>17</v>
      </c>
      <c r="G2744" s="2" t="s">
        <v>18</v>
      </c>
      <c r="H2744" s="2" t="s">
        <v>19</v>
      </c>
      <c r="I2744" s="2" t="s">
        <v>20</v>
      </c>
      <c r="J2744" s="2" t="s">
        <v>123</v>
      </c>
      <c r="K2744" s="2" t="s">
        <v>1897</v>
      </c>
      <c r="L2744" s="3">
        <v>0.39374999999999999</v>
      </c>
      <c r="M2744" s="2" t="s">
        <v>233</v>
      </c>
      <c r="N2744" s="2" t="s">
        <v>500</v>
      </c>
      <c r="O2744" s="2"/>
    </row>
    <row r="2745" spans="1:15" x14ac:dyDescent="0.25">
      <c r="A2745" s="2" t="s">
        <v>15</v>
      </c>
      <c r="B2745" s="2" t="str">
        <f>"FES1162771076"</f>
        <v>FES1162771076</v>
      </c>
      <c r="C2745" s="2" t="s">
        <v>1762</v>
      </c>
      <c r="D2745" s="2">
        <v>1</v>
      </c>
      <c r="E2745" s="2" t="str">
        <f>"2170754829"</f>
        <v>2170754829</v>
      </c>
      <c r="F2745" s="2" t="s">
        <v>17</v>
      </c>
      <c r="G2745" s="2" t="s">
        <v>18</v>
      </c>
      <c r="H2745" s="2" t="s">
        <v>18</v>
      </c>
      <c r="I2745" s="2" t="s">
        <v>57</v>
      </c>
      <c r="J2745" s="2" t="s">
        <v>888</v>
      </c>
      <c r="K2745" s="2" t="s">
        <v>1897</v>
      </c>
      <c r="L2745" s="3">
        <v>0.30555555555555552</v>
      </c>
      <c r="M2745" s="2" t="s">
        <v>350</v>
      </c>
      <c r="N2745" s="2" t="s">
        <v>500</v>
      </c>
      <c r="O2745" s="2"/>
    </row>
    <row r="2746" spans="1:15" x14ac:dyDescent="0.25">
      <c r="A2746" s="2" t="s">
        <v>15</v>
      </c>
      <c r="B2746" s="2" t="str">
        <f>"FES1162771121"</f>
        <v>FES1162771121</v>
      </c>
      <c r="C2746" s="2" t="s">
        <v>1762</v>
      </c>
      <c r="D2746" s="2">
        <v>1</v>
      </c>
      <c r="E2746" s="2" t="str">
        <f>"2170756378"</f>
        <v>2170756378</v>
      </c>
      <c r="F2746" s="2" t="s">
        <v>17</v>
      </c>
      <c r="G2746" s="2" t="s">
        <v>18</v>
      </c>
      <c r="H2746" s="2" t="s">
        <v>25</v>
      </c>
      <c r="I2746" s="2" t="s">
        <v>26</v>
      </c>
      <c r="J2746" s="2" t="s">
        <v>27</v>
      </c>
      <c r="K2746" s="2" t="s">
        <v>1897</v>
      </c>
      <c r="L2746" s="3">
        <v>0.4145833333333333</v>
      </c>
      <c r="M2746" s="2" t="s">
        <v>521</v>
      </c>
      <c r="N2746" s="2" t="s">
        <v>500</v>
      </c>
      <c r="O2746" s="2"/>
    </row>
    <row r="2747" spans="1:15" x14ac:dyDescent="0.25">
      <c r="A2747" s="2" t="s">
        <v>15</v>
      </c>
      <c r="B2747" s="2" t="str">
        <f>"FES1162771143"</f>
        <v>FES1162771143</v>
      </c>
      <c r="C2747" s="2" t="s">
        <v>1762</v>
      </c>
      <c r="D2747" s="2">
        <v>1</v>
      </c>
      <c r="E2747" s="2" t="str">
        <f>"2170757093"</f>
        <v>2170757093</v>
      </c>
      <c r="F2747" s="2" t="s">
        <v>17</v>
      </c>
      <c r="G2747" s="2" t="s">
        <v>18</v>
      </c>
      <c r="H2747" s="2" t="s">
        <v>18</v>
      </c>
      <c r="I2747" s="2" t="s">
        <v>46</v>
      </c>
      <c r="J2747" s="2" t="s">
        <v>59</v>
      </c>
      <c r="K2747" s="2" t="s">
        <v>1897</v>
      </c>
      <c r="L2747" s="3">
        <v>0.3125</v>
      </c>
      <c r="M2747" s="2" t="s">
        <v>1984</v>
      </c>
      <c r="N2747" s="2" t="s">
        <v>500</v>
      </c>
      <c r="O2747" s="2"/>
    </row>
    <row r="2748" spans="1:15" x14ac:dyDescent="0.25">
      <c r="A2748" s="2" t="s">
        <v>15</v>
      </c>
      <c r="B2748" s="2" t="str">
        <f>"FES1162771172"</f>
        <v>FES1162771172</v>
      </c>
      <c r="C2748" s="2" t="s">
        <v>1762</v>
      </c>
      <c r="D2748" s="2">
        <v>1</v>
      </c>
      <c r="E2748" s="2" t="str">
        <f>"2170755850"</f>
        <v>2170755850</v>
      </c>
      <c r="F2748" s="2" t="s">
        <v>17</v>
      </c>
      <c r="G2748" s="2" t="s">
        <v>18</v>
      </c>
      <c r="H2748" s="2" t="s">
        <v>18</v>
      </c>
      <c r="I2748" s="2" t="s">
        <v>50</v>
      </c>
      <c r="J2748" s="2" t="s">
        <v>1938</v>
      </c>
      <c r="K2748" s="2" t="s">
        <v>1897</v>
      </c>
      <c r="L2748" s="3">
        <v>0.50277777777777777</v>
      </c>
      <c r="M2748" s="2" t="s">
        <v>1985</v>
      </c>
      <c r="N2748" s="2" t="s">
        <v>500</v>
      </c>
      <c r="O2748" s="2"/>
    </row>
    <row r="2749" spans="1:15" x14ac:dyDescent="0.25">
      <c r="A2749" s="2" t="s">
        <v>15</v>
      </c>
      <c r="B2749" s="2" t="str">
        <f>"FES1162771185"</f>
        <v>FES1162771185</v>
      </c>
      <c r="C2749" s="2" t="s">
        <v>1762</v>
      </c>
      <c r="D2749" s="2">
        <v>1</v>
      </c>
      <c r="E2749" s="2" t="str">
        <f>"2170756191"</f>
        <v>2170756191</v>
      </c>
      <c r="F2749" s="2" t="s">
        <v>17</v>
      </c>
      <c r="G2749" s="2" t="s">
        <v>18</v>
      </c>
      <c r="H2749" s="2" t="s">
        <v>18</v>
      </c>
      <c r="I2749" s="2" t="s">
        <v>46</v>
      </c>
      <c r="J2749" s="2" t="s">
        <v>59</v>
      </c>
      <c r="K2749" s="2" t="s">
        <v>1897</v>
      </c>
      <c r="L2749" s="3">
        <v>0.3125</v>
      </c>
      <c r="M2749" s="2" t="s">
        <v>1984</v>
      </c>
      <c r="N2749" s="2" t="s">
        <v>500</v>
      </c>
      <c r="O2749" s="2"/>
    </row>
    <row r="2750" spans="1:15" x14ac:dyDescent="0.25">
      <c r="A2750" s="2" t="s">
        <v>15</v>
      </c>
      <c r="B2750" s="2" t="str">
        <f>"FES1162771133"</f>
        <v>FES1162771133</v>
      </c>
      <c r="C2750" s="2" t="s">
        <v>1762</v>
      </c>
      <c r="D2750" s="2">
        <v>1</v>
      </c>
      <c r="E2750" s="2" t="str">
        <f>"2170756651"</f>
        <v>2170756651</v>
      </c>
      <c r="F2750" s="2" t="s">
        <v>17</v>
      </c>
      <c r="G2750" s="2" t="s">
        <v>18</v>
      </c>
      <c r="H2750" s="2" t="s">
        <v>18</v>
      </c>
      <c r="I2750" s="2" t="s">
        <v>46</v>
      </c>
      <c r="J2750" s="2" t="s">
        <v>59</v>
      </c>
      <c r="K2750" s="2" t="s">
        <v>1897</v>
      </c>
      <c r="L2750" s="3">
        <v>0.3125</v>
      </c>
      <c r="M2750" s="2" t="s">
        <v>1984</v>
      </c>
      <c r="N2750" s="2" t="s">
        <v>500</v>
      </c>
      <c r="O2750" s="2"/>
    </row>
    <row r="2751" spans="1:15" x14ac:dyDescent="0.25">
      <c r="A2751" s="2" t="s">
        <v>15</v>
      </c>
      <c r="B2751" s="2" t="str">
        <f>"FES1162770863"</f>
        <v>FES1162770863</v>
      </c>
      <c r="C2751" s="2" t="s">
        <v>1762</v>
      </c>
      <c r="D2751" s="2">
        <v>1</v>
      </c>
      <c r="E2751" s="2" t="str">
        <f>"2170756492"</f>
        <v>2170756492</v>
      </c>
      <c r="F2751" s="2" t="s">
        <v>17</v>
      </c>
      <c r="G2751" s="2" t="s">
        <v>18</v>
      </c>
      <c r="H2751" s="2" t="s">
        <v>18</v>
      </c>
      <c r="I2751" s="2" t="s">
        <v>46</v>
      </c>
      <c r="J2751" s="2" t="s">
        <v>59</v>
      </c>
      <c r="K2751" s="2" t="s">
        <v>1897</v>
      </c>
      <c r="L2751" s="3">
        <v>0.3125</v>
      </c>
      <c r="M2751" s="2" t="s">
        <v>1984</v>
      </c>
      <c r="N2751" s="2" t="s">
        <v>500</v>
      </c>
      <c r="O2751" s="2"/>
    </row>
    <row r="2752" spans="1:15" x14ac:dyDescent="0.25">
      <c r="A2752" s="2" t="s">
        <v>15</v>
      </c>
      <c r="B2752" s="2" t="str">
        <f>"FES1162771174"</f>
        <v>FES1162771174</v>
      </c>
      <c r="C2752" s="2" t="s">
        <v>1762</v>
      </c>
      <c r="D2752" s="2">
        <v>1</v>
      </c>
      <c r="E2752" s="2" t="str">
        <f>"2170755876"</f>
        <v>2170755876</v>
      </c>
      <c r="F2752" s="2" t="s">
        <v>17</v>
      </c>
      <c r="G2752" s="2" t="s">
        <v>18</v>
      </c>
      <c r="H2752" s="2" t="s">
        <v>18</v>
      </c>
      <c r="I2752" s="2" t="s">
        <v>116</v>
      </c>
      <c r="J2752" s="2" t="s">
        <v>169</v>
      </c>
      <c r="K2752" s="2" t="s">
        <v>1897</v>
      </c>
      <c r="L2752" s="3">
        <v>0.3979166666666667</v>
      </c>
      <c r="M2752" s="2" t="s">
        <v>1986</v>
      </c>
      <c r="N2752" s="2" t="s">
        <v>500</v>
      </c>
      <c r="O2752" s="2"/>
    </row>
    <row r="2753" spans="1:15" x14ac:dyDescent="0.25">
      <c r="A2753" s="2" t="s">
        <v>15</v>
      </c>
      <c r="B2753" s="2" t="str">
        <f>"FES1162771021"</f>
        <v>FES1162771021</v>
      </c>
      <c r="C2753" s="2" t="s">
        <v>1762</v>
      </c>
      <c r="D2753" s="2">
        <v>1</v>
      </c>
      <c r="E2753" s="2" t="str">
        <f>"2170758154"</f>
        <v>2170758154</v>
      </c>
      <c r="F2753" s="2" t="s">
        <v>17</v>
      </c>
      <c r="G2753" s="2" t="s">
        <v>18</v>
      </c>
      <c r="H2753" s="2" t="s">
        <v>19</v>
      </c>
      <c r="I2753" s="2" t="s">
        <v>111</v>
      </c>
      <c r="J2753" s="2" t="s">
        <v>143</v>
      </c>
      <c r="K2753" s="2" t="s">
        <v>1897</v>
      </c>
      <c r="L2753" s="3">
        <v>0.31180555555555556</v>
      </c>
      <c r="M2753" s="2" t="s">
        <v>144</v>
      </c>
      <c r="N2753" s="2" t="s">
        <v>500</v>
      </c>
      <c r="O2753" s="2"/>
    </row>
    <row r="2754" spans="1:15" x14ac:dyDescent="0.25">
      <c r="A2754" s="2" t="s">
        <v>15</v>
      </c>
      <c r="B2754" s="2" t="str">
        <f>"FES1162771060"</f>
        <v>FES1162771060</v>
      </c>
      <c r="C2754" s="2" t="s">
        <v>1762</v>
      </c>
      <c r="D2754" s="2">
        <v>1</v>
      </c>
      <c r="E2754" s="2" t="str">
        <f>"2170758188"</f>
        <v>2170758188</v>
      </c>
      <c r="F2754" s="2" t="s">
        <v>17</v>
      </c>
      <c r="G2754" s="2" t="s">
        <v>18</v>
      </c>
      <c r="H2754" s="2" t="s">
        <v>25</v>
      </c>
      <c r="I2754" s="2" t="s">
        <v>42</v>
      </c>
      <c r="J2754" s="2" t="s">
        <v>639</v>
      </c>
      <c r="K2754" s="2" t="s">
        <v>1897</v>
      </c>
      <c r="L2754" s="3">
        <v>0.5083333333333333</v>
      </c>
      <c r="M2754" s="2" t="s">
        <v>1987</v>
      </c>
      <c r="N2754" s="2" t="s">
        <v>500</v>
      </c>
      <c r="O2754" s="2"/>
    </row>
    <row r="2755" spans="1:15" x14ac:dyDescent="0.25">
      <c r="A2755" s="2" t="s">
        <v>15</v>
      </c>
      <c r="B2755" s="2" t="str">
        <f>"FES1162771036"</f>
        <v>FES1162771036</v>
      </c>
      <c r="C2755" s="2" t="s">
        <v>1762</v>
      </c>
      <c r="D2755" s="2">
        <v>1</v>
      </c>
      <c r="E2755" s="2" t="str">
        <f>"2170758192"</f>
        <v>2170758192</v>
      </c>
      <c r="F2755" s="2" t="s">
        <v>205</v>
      </c>
      <c r="G2755" s="2" t="s">
        <v>206</v>
      </c>
      <c r="H2755" s="2" t="s">
        <v>19</v>
      </c>
      <c r="I2755" s="2" t="s">
        <v>269</v>
      </c>
      <c r="J2755" s="2" t="s">
        <v>270</v>
      </c>
      <c r="K2755" s="2" t="s">
        <v>1897</v>
      </c>
      <c r="L2755" s="3">
        <v>0.35486111111111113</v>
      </c>
      <c r="M2755" s="2" t="s">
        <v>271</v>
      </c>
      <c r="N2755" s="2" t="s">
        <v>500</v>
      </c>
      <c r="O2755" s="2"/>
    </row>
    <row r="2756" spans="1:15" x14ac:dyDescent="0.25">
      <c r="A2756" s="2" t="s">
        <v>15</v>
      </c>
      <c r="B2756" s="2" t="str">
        <f>"FES1162771107"</f>
        <v>FES1162771107</v>
      </c>
      <c r="C2756" s="2" t="s">
        <v>1762</v>
      </c>
      <c r="D2756" s="2">
        <v>1</v>
      </c>
      <c r="E2756" s="2" t="str">
        <f>"2170756282"</f>
        <v>2170756282</v>
      </c>
      <c r="F2756" s="2" t="s">
        <v>17</v>
      </c>
      <c r="G2756" s="2" t="s">
        <v>18</v>
      </c>
      <c r="H2756" s="2" t="s">
        <v>19</v>
      </c>
      <c r="I2756" s="2" t="s">
        <v>20</v>
      </c>
      <c r="J2756" s="2" t="s">
        <v>21</v>
      </c>
      <c r="K2756" s="2" t="s">
        <v>1897</v>
      </c>
      <c r="L2756" s="3">
        <v>0.37361111111111112</v>
      </c>
      <c r="M2756" s="2" t="s">
        <v>682</v>
      </c>
      <c r="N2756" s="2" t="s">
        <v>500</v>
      </c>
      <c r="O2756" s="2"/>
    </row>
    <row r="2757" spans="1:15" x14ac:dyDescent="0.25">
      <c r="A2757" s="2" t="s">
        <v>15</v>
      </c>
      <c r="B2757" s="2" t="str">
        <f>"FES1162770785"</f>
        <v>FES1162770785</v>
      </c>
      <c r="C2757" s="2" t="s">
        <v>1762</v>
      </c>
      <c r="D2757" s="2">
        <v>1</v>
      </c>
      <c r="E2757" s="2" t="str">
        <f>"2170754859"</f>
        <v>2170754859</v>
      </c>
      <c r="F2757" s="2" t="s">
        <v>17</v>
      </c>
      <c r="G2757" s="2" t="s">
        <v>18</v>
      </c>
      <c r="H2757" s="2" t="s">
        <v>18</v>
      </c>
      <c r="I2757" s="2" t="s">
        <v>63</v>
      </c>
      <c r="J2757" s="2" t="s">
        <v>1939</v>
      </c>
      <c r="K2757" s="2" t="s">
        <v>1897</v>
      </c>
      <c r="L2757" s="3">
        <v>0.43055555555555558</v>
      </c>
      <c r="M2757" s="2" t="s">
        <v>1988</v>
      </c>
      <c r="N2757" s="2" t="s">
        <v>500</v>
      </c>
      <c r="O2757" s="2"/>
    </row>
    <row r="2758" spans="1:15" x14ac:dyDescent="0.25">
      <c r="A2758" s="2" t="s">
        <v>15</v>
      </c>
      <c r="B2758" s="2" t="str">
        <f>"FES1162770802"</f>
        <v>FES1162770802</v>
      </c>
      <c r="C2758" s="2" t="s">
        <v>1762</v>
      </c>
      <c r="D2758" s="2">
        <v>1</v>
      </c>
      <c r="E2758" s="2" t="str">
        <f>"2170756424"</f>
        <v>2170756424</v>
      </c>
      <c r="F2758" s="2" t="s">
        <v>17</v>
      </c>
      <c r="G2758" s="2" t="s">
        <v>18</v>
      </c>
      <c r="H2758" s="2" t="s">
        <v>18</v>
      </c>
      <c r="I2758" s="2" t="s">
        <v>63</v>
      </c>
      <c r="J2758" s="2" t="s">
        <v>1940</v>
      </c>
      <c r="K2758" s="2" t="s">
        <v>1897</v>
      </c>
      <c r="L2758" s="3">
        <v>0.33958333333333335</v>
      </c>
      <c r="M2758" s="2" t="s">
        <v>1989</v>
      </c>
      <c r="N2758" s="2" t="s">
        <v>500</v>
      </c>
      <c r="O2758" s="2"/>
    </row>
    <row r="2759" spans="1:15" x14ac:dyDescent="0.25">
      <c r="A2759" s="2" t="s">
        <v>15</v>
      </c>
      <c r="B2759" s="2" t="str">
        <f>"FES1162771115"</f>
        <v>FES1162771115</v>
      </c>
      <c r="C2759" s="2" t="s">
        <v>1762</v>
      </c>
      <c r="D2759" s="2">
        <v>1</v>
      </c>
      <c r="E2759" s="2" t="str">
        <f>"2170756332"</f>
        <v>2170756332</v>
      </c>
      <c r="F2759" s="2" t="s">
        <v>17</v>
      </c>
      <c r="G2759" s="2" t="s">
        <v>18</v>
      </c>
      <c r="H2759" s="2" t="s">
        <v>88</v>
      </c>
      <c r="I2759" s="2" t="s">
        <v>109</v>
      </c>
      <c r="J2759" s="2" t="s">
        <v>788</v>
      </c>
      <c r="K2759" s="2" t="s">
        <v>1897</v>
      </c>
      <c r="L2759" s="3">
        <v>0.51736111111111105</v>
      </c>
      <c r="M2759" s="2" t="s">
        <v>1990</v>
      </c>
      <c r="N2759" s="2" t="s">
        <v>500</v>
      </c>
      <c r="O2759" s="2"/>
    </row>
    <row r="2760" spans="1:15" x14ac:dyDescent="0.25">
      <c r="A2760" s="2" t="s">
        <v>15</v>
      </c>
      <c r="B2760" s="2" t="str">
        <f>"FES1162770917"</f>
        <v>FES1162770917</v>
      </c>
      <c r="C2760" s="2" t="s">
        <v>1762</v>
      </c>
      <c r="D2760" s="2">
        <v>1</v>
      </c>
      <c r="E2760" s="2" t="str">
        <f>"2170756326"</f>
        <v>2170756326</v>
      </c>
      <c r="F2760" s="2" t="s">
        <v>17</v>
      </c>
      <c r="G2760" s="2" t="s">
        <v>18</v>
      </c>
      <c r="H2760" s="2" t="s">
        <v>18</v>
      </c>
      <c r="I2760" s="2" t="s">
        <v>52</v>
      </c>
      <c r="J2760" s="2" t="s">
        <v>466</v>
      </c>
      <c r="K2760" s="2" t="s">
        <v>1897</v>
      </c>
      <c r="L2760" s="3">
        <v>0.40138888888888885</v>
      </c>
      <c r="M2760" s="2" t="s">
        <v>1991</v>
      </c>
      <c r="N2760" s="2" t="s">
        <v>500</v>
      </c>
      <c r="O2760" s="2"/>
    </row>
    <row r="2761" spans="1:15" x14ac:dyDescent="0.25">
      <c r="A2761" s="2" t="s">
        <v>15</v>
      </c>
      <c r="B2761" s="2" t="str">
        <f>"FES1162770939"</f>
        <v>FES1162770939</v>
      </c>
      <c r="C2761" s="2" t="s">
        <v>1762</v>
      </c>
      <c r="D2761" s="2">
        <v>1</v>
      </c>
      <c r="E2761" s="2" t="str">
        <f>"2170758055"</f>
        <v>2170758055</v>
      </c>
      <c r="F2761" s="2" t="s">
        <v>17</v>
      </c>
      <c r="G2761" s="2" t="s">
        <v>18</v>
      </c>
      <c r="H2761" s="2" t="s">
        <v>18</v>
      </c>
      <c r="I2761" s="2" t="s">
        <v>65</v>
      </c>
      <c r="J2761" s="2" t="s">
        <v>1941</v>
      </c>
      <c r="K2761" s="2" t="s">
        <v>1897</v>
      </c>
      <c r="L2761" s="3">
        <v>0.37986111111111115</v>
      </c>
      <c r="M2761" s="2" t="s">
        <v>1992</v>
      </c>
      <c r="N2761" s="2" t="s">
        <v>500</v>
      </c>
      <c r="O2761" s="2"/>
    </row>
    <row r="2762" spans="1:15" x14ac:dyDescent="0.25">
      <c r="A2762" s="2" t="s">
        <v>15</v>
      </c>
      <c r="B2762" s="2" t="str">
        <f>"FES1162771096"</f>
        <v>FES1162771096</v>
      </c>
      <c r="C2762" s="2" t="s">
        <v>1762</v>
      </c>
      <c r="D2762" s="2">
        <v>1</v>
      </c>
      <c r="E2762" s="2" t="str">
        <f>"2170756145"</f>
        <v>2170756145</v>
      </c>
      <c r="F2762" s="2" t="s">
        <v>17</v>
      </c>
      <c r="G2762" s="2" t="s">
        <v>18</v>
      </c>
      <c r="H2762" s="2" t="s">
        <v>18</v>
      </c>
      <c r="I2762" s="2" t="s">
        <v>290</v>
      </c>
      <c r="J2762" s="2" t="s">
        <v>420</v>
      </c>
      <c r="K2762" s="2" t="s">
        <v>1897</v>
      </c>
      <c r="L2762" s="3">
        <v>0.4375</v>
      </c>
      <c r="M2762" s="2" t="s">
        <v>751</v>
      </c>
      <c r="N2762" s="2" t="s">
        <v>500</v>
      </c>
      <c r="O2762" s="2"/>
    </row>
    <row r="2763" spans="1:15" x14ac:dyDescent="0.25">
      <c r="A2763" s="2" t="s">
        <v>15</v>
      </c>
      <c r="B2763" s="2" t="str">
        <f>"FES1162771004"</f>
        <v>FES1162771004</v>
      </c>
      <c r="C2763" s="2" t="s">
        <v>1762</v>
      </c>
      <c r="D2763" s="2">
        <v>1</v>
      </c>
      <c r="E2763" s="2" t="str">
        <f>"2170757035"</f>
        <v>2170757035</v>
      </c>
      <c r="F2763" s="2" t="s">
        <v>17</v>
      </c>
      <c r="G2763" s="2" t="s">
        <v>18</v>
      </c>
      <c r="H2763" s="2" t="s">
        <v>18</v>
      </c>
      <c r="I2763" s="2" t="s">
        <v>50</v>
      </c>
      <c r="J2763" s="2" t="s">
        <v>1459</v>
      </c>
      <c r="K2763" s="2" t="s">
        <v>1897</v>
      </c>
      <c r="L2763" s="3">
        <v>0.35416666666666669</v>
      </c>
      <c r="M2763" s="2" t="s">
        <v>1993</v>
      </c>
      <c r="N2763" s="2" t="s">
        <v>500</v>
      </c>
      <c r="O2763" s="2"/>
    </row>
    <row r="2764" spans="1:15" x14ac:dyDescent="0.25">
      <c r="A2764" s="2" t="s">
        <v>15</v>
      </c>
      <c r="B2764" s="2" t="str">
        <f>"FES1162771179"</f>
        <v>FES1162771179</v>
      </c>
      <c r="C2764" s="2" t="s">
        <v>1762</v>
      </c>
      <c r="D2764" s="2">
        <v>1</v>
      </c>
      <c r="E2764" s="2" t="str">
        <f>"2170756027"</f>
        <v>2170756027</v>
      </c>
      <c r="F2764" s="2" t="s">
        <v>17</v>
      </c>
      <c r="G2764" s="2" t="s">
        <v>18</v>
      </c>
      <c r="H2764" s="2" t="s">
        <v>18</v>
      </c>
      <c r="I2764" s="2" t="s">
        <v>46</v>
      </c>
      <c r="J2764" s="2" t="s">
        <v>59</v>
      </c>
      <c r="K2764" s="2" t="s">
        <v>1897</v>
      </c>
      <c r="L2764" s="3">
        <v>0.3125</v>
      </c>
      <c r="M2764" s="2" t="s">
        <v>1984</v>
      </c>
      <c r="N2764" s="2" t="s">
        <v>500</v>
      </c>
      <c r="O2764" s="2"/>
    </row>
    <row r="2765" spans="1:15" x14ac:dyDescent="0.25">
      <c r="A2765" s="2" t="s">
        <v>15</v>
      </c>
      <c r="B2765" s="2" t="str">
        <f>"FES1162771142"</f>
        <v>FES1162771142</v>
      </c>
      <c r="C2765" s="2" t="s">
        <v>1762</v>
      </c>
      <c r="D2765" s="2">
        <v>1</v>
      </c>
      <c r="E2765" s="2" t="str">
        <f>"2170756828"</f>
        <v>2170756828</v>
      </c>
      <c r="F2765" s="2" t="s">
        <v>17</v>
      </c>
      <c r="G2765" s="2" t="s">
        <v>18</v>
      </c>
      <c r="H2765" s="2" t="s">
        <v>18</v>
      </c>
      <c r="I2765" s="2" t="s">
        <v>46</v>
      </c>
      <c r="J2765" s="2" t="s">
        <v>59</v>
      </c>
      <c r="K2765" s="2" t="s">
        <v>1897</v>
      </c>
      <c r="L2765" s="3">
        <v>0.3125</v>
      </c>
      <c r="M2765" s="2" t="s">
        <v>1984</v>
      </c>
      <c r="N2765" s="2" t="s">
        <v>500</v>
      </c>
      <c r="O2765" s="2"/>
    </row>
    <row r="2766" spans="1:15" x14ac:dyDescent="0.25">
      <c r="A2766" s="2" t="s">
        <v>15</v>
      </c>
      <c r="B2766" s="2" t="str">
        <f>"FES1162771102"</f>
        <v>FES1162771102</v>
      </c>
      <c r="C2766" s="2" t="s">
        <v>1762</v>
      </c>
      <c r="D2766" s="2">
        <v>1</v>
      </c>
      <c r="E2766" s="2" t="str">
        <f>"2170756236"</f>
        <v>2170756236</v>
      </c>
      <c r="F2766" s="2" t="s">
        <v>17</v>
      </c>
      <c r="G2766" s="2" t="s">
        <v>18</v>
      </c>
      <c r="H2766" s="2" t="s">
        <v>18</v>
      </c>
      <c r="I2766" s="2" t="s">
        <v>478</v>
      </c>
      <c r="J2766" s="2" t="s">
        <v>768</v>
      </c>
      <c r="K2766" s="2" t="s">
        <v>1897</v>
      </c>
      <c r="L2766" s="3">
        <v>0.36319444444444443</v>
      </c>
      <c r="M2766" s="2" t="s">
        <v>1994</v>
      </c>
      <c r="N2766" s="2" t="s">
        <v>500</v>
      </c>
      <c r="O2766" s="2"/>
    </row>
    <row r="2767" spans="1:15" x14ac:dyDescent="0.25">
      <c r="A2767" s="2" t="s">
        <v>15</v>
      </c>
      <c r="B2767" s="2" t="str">
        <f>"FES1162770949"</f>
        <v>FES1162770949</v>
      </c>
      <c r="C2767" s="2" t="s">
        <v>1762</v>
      </c>
      <c r="D2767" s="2">
        <v>1</v>
      </c>
      <c r="E2767" s="2" t="str">
        <f>"2170755870"</f>
        <v>2170755870</v>
      </c>
      <c r="F2767" s="2" t="s">
        <v>17</v>
      </c>
      <c r="G2767" s="2" t="s">
        <v>18</v>
      </c>
      <c r="H2767" s="2" t="s">
        <v>88</v>
      </c>
      <c r="I2767" s="2" t="s">
        <v>109</v>
      </c>
      <c r="J2767" s="2" t="s">
        <v>155</v>
      </c>
      <c r="K2767" s="2" t="s">
        <v>1897</v>
      </c>
      <c r="L2767" s="3">
        <v>0.36805555555555558</v>
      </c>
      <c r="M2767" s="2" t="s">
        <v>251</v>
      </c>
      <c r="N2767" s="2" t="s">
        <v>500</v>
      </c>
      <c r="O2767" s="2"/>
    </row>
    <row r="2768" spans="1:15" x14ac:dyDescent="0.25">
      <c r="A2768" s="2" t="s">
        <v>15</v>
      </c>
      <c r="B2768" s="2" t="str">
        <f>"FES1162770854"</f>
        <v>FES1162770854</v>
      </c>
      <c r="C2768" s="2" t="s">
        <v>1762</v>
      </c>
      <c r="D2768" s="2">
        <v>1</v>
      </c>
      <c r="E2768" s="2" t="str">
        <f>"2170756315"</f>
        <v>2170756315</v>
      </c>
      <c r="F2768" s="2" t="s">
        <v>17</v>
      </c>
      <c r="G2768" s="2" t="s">
        <v>18</v>
      </c>
      <c r="H2768" s="2" t="s">
        <v>36</v>
      </c>
      <c r="I2768" s="2" t="s">
        <v>37</v>
      </c>
      <c r="J2768" s="2" t="s">
        <v>104</v>
      </c>
      <c r="K2768" s="2" t="s">
        <v>1897</v>
      </c>
      <c r="L2768" s="3">
        <v>0.4152777777777778</v>
      </c>
      <c r="M2768" s="2" t="s">
        <v>870</v>
      </c>
      <c r="N2768" s="2" t="s">
        <v>500</v>
      </c>
      <c r="O2768" s="2"/>
    </row>
    <row r="2769" spans="1:15" x14ac:dyDescent="0.25">
      <c r="A2769" s="2" t="s">
        <v>15</v>
      </c>
      <c r="B2769" s="2" t="str">
        <f>"FES1162771010"</f>
        <v>FES1162771010</v>
      </c>
      <c r="C2769" s="2" t="s">
        <v>1762</v>
      </c>
      <c r="D2769" s="2">
        <v>1</v>
      </c>
      <c r="E2769" s="2" t="str">
        <f>"2170757822"</f>
        <v>2170757822</v>
      </c>
      <c r="F2769" s="2" t="s">
        <v>17</v>
      </c>
      <c r="G2769" s="2" t="s">
        <v>18</v>
      </c>
      <c r="H2769" s="2" t="s">
        <v>36</v>
      </c>
      <c r="I2769" s="2" t="s">
        <v>37</v>
      </c>
      <c r="J2769" s="2" t="s">
        <v>55</v>
      </c>
      <c r="K2769" s="2" t="s">
        <v>1897</v>
      </c>
      <c r="L2769" s="3">
        <v>0.41597222222222219</v>
      </c>
      <c r="M2769" s="2" t="s">
        <v>836</v>
      </c>
      <c r="N2769" s="2" t="s">
        <v>500</v>
      </c>
      <c r="O2769" s="2"/>
    </row>
    <row r="2770" spans="1:15" x14ac:dyDescent="0.25">
      <c r="A2770" s="2" t="s">
        <v>15</v>
      </c>
      <c r="B2770" s="2" t="str">
        <f>"FES1162771082"</f>
        <v>FES1162771082</v>
      </c>
      <c r="C2770" s="2" t="s">
        <v>1762</v>
      </c>
      <c r="D2770" s="2">
        <v>1</v>
      </c>
      <c r="E2770" s="2" t="str">
        <f>"2170755630"</f>
        <v>2170755630</v>
      </c>
      <c r="F2770" s="2" t="s">
        <v>17</v>
      </c>
      <c r="G2770" s="2" t="s">
        <v>18</v>
      </c>
      <c r="H2770" s="2" t="s">
        <v>36</v>
      </c>
      <c r="I2770" s="2" t="s">
        <v>37</v>
      </c>
      <c r="J2770" s="2" t="s">
        <v>378</v>
      </c>
      <c r="K2770" s="2" t="s">
        <v>1897</v>
      </c>
      <c r="L2770" s="3">
        <v>0.4236111111111111</v>
      </c>
      <c r="M2770" s="2" t="s">
        <v>379</v>
      </c>
      <c r="N2770" s="2" t="s">
        <v>500</v>
      </c>
      <c r="O2770" s="2"/>
    </row>
    <row r="2771" spans="1:15" x14ac:dyDescent="0.25">
      <c r="A2771" s="2" t="s">
        <v>15</v>
      </c>
      <c r="B2771" s="2" t="str">
        <f>"FES1162771110"</f>
        <v>FES1162771110</v>
      </c>
      <c r="C2771" s="2" t="s">
        <v>1762</v>
      </c>
      <c r="D2771" s="2">
        <v>1</v>
      </c>
      <c r="E2771" s="2" t="str">
        <f>"2170756315"</f>
        <v>2170756315</v>
      </c>
      <c r="F2771" s="2" t="s">
        <v>17</v>
      </c>
      <c r="G2771" s="2" t="s">
        <v>18</v>
      </c>
      <c r="H2771" s="2" t="s">
        <v>36</v>
      </c>
      <c r="I2771" s="2" t="s">
        <v>37</v>
      </c>
      <c r="J2771" s="2" t="s">
        <v>104</v>
      </c>
      <c r="K2771" s="2" t="s">
        <v>1897</v>
      </c>
      <c r="L2771" s="3">
        <v>0.4201388888888889</v>
      </c>
      <c r="M2771" s="2" t="s">
        <v>870</v>
      </c>
      <c r="N2771" s="2" t="s">
        <v>500</v>
      </c>
      <c r="O2771" s="2"/>
    </row>
    <row r="2772" spans="1:15" x14ac:dyDescent="0.25">
      <c r="A2772" s="2" t="s">
        <v>15</v>
      </c>
      <c r="B2772" s="2" t="str">
        <f>"FES1162771071"</f>
        <v>FES1162771071</v>
      </c>
      <c r="C2772" s="2" t="s">
        <v>1762</v>
      </c>
      <c r="D2772" s="2">
        <v>1</v>
      </c>
      <c r="E2772" s="2" t="str">
        <f>"2170754263"</f>
        <v>2170754263</v>
      </c>
      <c r="F2772" s="2" t="s">
        <v>17</v>
      </c>
      <c r="G2772" s="2" t="s">
        <v>18</v>
      </c>
      <c r="H2772" s="2" t="s">
        <v>36</v>
      </c>
      <c r="I2772" s="2" t="s">
        <v>37</v>
      </c>
      <c r="J2772" s="2" t="s">
        <v>102</v>
      </c>
      <c r="K2772" s="2" t="s">
        <v>1897</v>
      </c>
      <c r="L2772" s="3">
        <v>0.38125000000000003</v>
      </c>
      <c r="M2772" s="2" t="s">
        <v>1690</v>
      </c>
      <c r="N2772" s="2" t="s">
        <v>500</v>
      </c>
      <c r="O2772" s="2"/>
    </row>
    <row r="2773" spans="1:15" x14ac:dyDescent="0.25">
      <c r="A2773" s="2" t="s">
        <v>15</v>
      </c>
      <c r="B2773" s="2" t="str">
        <f>"FES1162771027"</f>
        <v>FES1162771027</v>
      </c>
      <c r="C2773" s="2" t="s">
        <v>1762</v>
      </c>
      <c r="D2773" s="2">
        <v>1</v>
      </c>
      <c r="E2773" s="2" t="str">
        <f>"2170758174"</f>
        <v>2170758174</v>
      </c>
      <c r="F2773" s="2" t="s">
        <v>17</v>
      </c>
      <c r="G2773" s="2" t="s">
        <v>18</v>
      </c>
      <c r="H2773" s="2" t="s">
        <v>36</v>
      </c>
      <c r="I2773" s="2" t="s">
        <v>37</v>
      </c>
      <c r="J2773" s="2" t="s">
        <v>104</v>
      </c>
      <c r="K2773" s="2" t="s">
        <v>1897</v>
      </c>
      <c r="L2773" s="3">
        <v>0.4201388888888889</v>
      </c>
      <c r="M2773" s="2" t="s">
        <v>870</v>
      </c>
      <c r="N2773" s="2" t="s">
        <v>500</v>
      </c>
      <c r="O2773" s="2"/>
    </row>
    <row r="2774" spans="1:15" x14ac:dyDescent="0.25">
      <c r="A2774" s="2" t="s">
        <v>15</v>
      </c>
      <c r="B2774" s="2" t="str">
        <f>"FES1162771160"</f>
        <v>FES1162771160</v>
      </c>
      <c r="C2774" s="2" t="s">
        <v>1762</v>
      </c>
      <c r="D2774" s="2">
        <v>1</v>
      </c>
      <c r="E2774" s="2" t="str">
        <f>"2170752508"</f>
        <v>2170752508</v>
      </c>
      <c r="F2774" s="2" t="s">
        <v>205</v>
      </c>
      <c r="G2774" s="2" t="s">
        <v>206</v>
      </c>
      <c r="H2774" s="2" t="s">
        <v>36</v>
      </c>
      <c r="I2774" s="2" t="s">
        <v>37</v>
      </c>
      <c r="J2774" s="2" t="s">
        <v>1421</v>
      </c>
      <c r="K2774" s="2" t="s">
        <v>1969</v>
      </c>
      <c r="L2774" s="3">
        <v>0.37291666666666662</v>
      </c>
      <c r="M2774" s="2" t="s">
        <v>946</v>
      </c>
      <c r="N2774" s="2" t="s">
        <v>500</v>
      </c>
      <c r="O2774" s="2"/>
    </row>
    <row r="2775" spans="1:15" x14ac:dyDescent="0.25">
      <c r="A2775" s="2" t="s">
        <v>15</v>
      </c>
      <c r="B2775" s="2" t="str">
        <f>"FES1162771108"</f>
        <v>FES1162771108</v>
      </c>
      <c r="C2775" s="2" t="s">
        <v>1762</v>
      </c>
      <c r="D2775" s="2">
        <v>1</v>
      </c>
      <c r="E2775" s="2" t="str">
        <f>"2170756301"</f>
        <v>2170756301</v>
      </c>
      <c r="F2775" s="2" t="s">
        <v>17</v>
      </c>
      <c r="G2775" s="2" t="s">
        <v>18</v>
      </c>
      <c r="H2775" s="2" t="s">
        <v>36</v>
      </c>
      <c r="I2775" s="2" t="s">
        <v>37</v>
      </c>
      <c r="J2775" s="2" t="s">
        <v>102</v>
      </c>
      <c r="K2775" s="2" t="s">
        <v>1897</v>
      </c>
      <c r="L2775" s="3">
        <v>0.38125000000000003</v>
      </c>
      <c r="M2775" s="2" t="s">
        <v>1690</v>
      </c>
      <c r="N2775" s="2" t="s">
        <v>500</v>
      </c>
      <c r="O2775" s="2"/>
    </row>
    <row r="2776" spans="1:15" x14ac:dyDescent="0.25">
      <c r="A2776" s="2" t="s">
        <v>15</v>
      </c>
      <c r="B2776" s="2" t="str">
        <f>"FES1162771074"</f>
        <v>FES1162771074</v>
      </c>
      <c r="C2776" s="2" t="s">
        <v>1762</v>
      </c>
      <c r="D2776" s="2">
        <v>1</v>
      </c>
      <c r="E2776" s="2" t="str">
        <f>"2170754575"</f>
        <v>2170754575</v>
      </c>
      <c r="F2776" s="2" t="s">
        <v>17</v>
      </c>
      <c r="G2776" s="2" t="s">
        <v>18</v>
      </c>
      <c r="H2776" s="2" t="s">
        <v>25</v>
      </c>
      <c r="I2776" s="2" t="s">
        <v>26</v>
      </c>
      <c r="J2776" s="2" t="s">
        <v>44</v>
      </c>
      <c r="K2776" s="2" t="s">
        <v>1897</v>
      </c>
      <c r="L2776" s="3">
        <v>0.48402777777777778</v>
      </c>
      <c r="M2776" s="2" t="s">
        <v>181</v>
      </c>
      <c r="N2776" s="2" t="s">
        <v>500</v>
      </c>
      <c r="O2776" s="2"/>
    </row>
    <row r="2777" spans="1:15" x14ac:dyDescent="0.25">
      <c r="A2777" s="2" t="s">
        <v>15</v>
      </c>
      <c r="B2777" s="2" t="str">
        <f>"FES1162771018"</f>
        <v>FES1162771018</v>
      </c>
      <c r="C2777" s="2" t="s">
        <v>1762</v>
      </c>
      <c r="D2777" s="2">
        <v>1</v>
      </c>
      <c r="E2777" s="2" t="str">
        <f>"2170758143"</f>
        <v>2170758143</v>
      </c>
      <c r="F2777" s="2" t="s">
        <v>17</v>
      </c>
      <c r="G2777" s="2" t="s">
        <v>18</v>
      </c>
      <c r="H2777" s="2" t="s">
        <v>25</v>
      </c>
      <c r="I2777" s="2" t="s">
        <v>26</v>
      </c>
      <c r="J2777" s="2" t="s">
        <v>1118</v>
      </c>
      <c r="K2777" s="2" t="s">
        <v>1897</v>
      </c>
      <c r="L2777" s="3">
        <v>0.48194444444444445</v>
      </c>
      <c r="M2777" s="2" t="s">
        <v>1995</v>
      </c>
      <c r="N2777" s="2" t="s">
        <v>500</v>
      </c>
      <c r="O2777" s="2"/>
    </row>
    <row r="2778" spans="1:15" x14ac:dyDescent="0.25">
      <c r="A2778" s="2" t="s">
        <v>15</v>
      </c>
      <c r="B2778" s="2" t="str">
        <f>"FES1162771048"</f>
        <v>FES1162771048</v>
      </c>
      <c r="C2778" s="2" t="s">
        <v>1762</v>
      </c>
      <c r="D2778" s="2">
        <v>1</v>
      </c>
      <c r="E2778" s="2" t="str">
        <f>"2170758210"</f>
        <v>2170758210</v>
      </c>
      <c r="F2778" s="2" t="s">
        <v>17</v>
      </c>
      <c r="G2778" s="2" t="s">
        <v>18</v>
      </c>
      <c r="H2778" s="2" t="s">
        <v>25</v>
      </c>
      <c r="I2778" s="2" t="s">
        <v>125</v>
      </c>
      <c r="J2778" s="2" t="s">
        <v>126</v>
      </c>
      <c r="K2778" s="2" t="s">
        <v>1897</v>
      </c>
      <c r="L2778" s="3">
        <v>0.48402777777777778</v>
      </c>
      <c r="M2778" s="2" t="s">
        <v>1189</v>
      </c>
      <c r="N2778" s="2" t="s">
        <v>500</v>
      </c>
      <c r="O2778" s="2"/>
    </row>
    <row r="2779" spans="1:15" x14ac:dyDescent="0.25">
      <c r="A2779" s="2" t="s">
        <v>15</v>
      </c>
      <c r="B2779" s="2" t="str">
        <f>"FES1162771072"</f>
        <v>FES1162771072</v>
      </c>
      <c r="C2779" s="2" t="s">
        <v>1762</v>
      </c>
      <c r="D2779" s="2">
        <v>1</v>
      </c>
      <c r="E2779" s="2" t="str">
        <f>"2170754337"</f>
        <v>2170754337</v>
      </c>
      <c r="F2779" s="2" t="s">
        <v>17</v>
      </c>
      <c r="G2779" s="2" t="s">
        <v>18</v>
      </c>
      <c r="H2779" s="2" t="s">
        <v>25</v>
      </c>
      <c r="I2779" s="2" t="s">
        <v>26</v>
      </c>
      <c r="J2779" s="2" t="s">
        <v>27</v>
      </c>
      <c r="K2779" s="2" t="s">
        <v>1897</v>
      </c>
      <c r="L2779" s="3">
        <v>0.4152777777777778</v>
      </c>
      <c r="M2779" s="2" t="s">
        <v>521</v>
      </c>
      <c r="N2779" s="2" t="s">
        <v>500</v>
      </c>
      <c r="O2779" s="2"/>
    </row>
    <row r="2780" spans="1:15" x14ac:dyDescent="0.25">
      <c r="A2780" s="2" t="s">
        <v>15</v>
      </c>
      <c r="B2780" s="2" t="str">
        <f>"FES1162771097"</f>
        <v>FES1162771097</v>
      </c>
      <c r="C2780" s="2" t="s">
        <v>1762</v>
      </c>
      <c r="D2780" s="2">
        <v>1</v>
      </c>
      <c r="E2780" s="2" t="str">
        <f>"2170756157"</f>
        <v>2170756157</v>
      </c>
      <c r="F2780" s="2" t="s">
        <v>17</v>
      </c>
      <c r="G2780" s="2" t="s">
        <v>18</v>
      </c>
      <c r="H2780" s="2" t="s">
        <v>25</v>
      </c>
      <c r="I2780" s="2" t="s">
        <v>26</v>
      </c>
      <c r="J2780" s="2" t="s">
        <v>75</v>
      </c>
      <c r="K2780" s="2" t="s">
        <v>1897</v>
      </c>
      <c r="L2780" s="3">
        <v>0.32500000000000001</v>
      </c>
      <c r="M2780" s="2" t="s">
        <v>1329</v>
      </c>
      <c r="N2780" s="2" t="s">
        <v>500</v>
      </c>
      <c r="O2780" s="2"/>
    </row>
    <row r="2781" spans="1:15" x14ac:dyDescent="0.25">
      <c r="A2781" s="2" t="s">
        <v>15</v>
      </c>
      <c r="B2781" s="2" t="str">
        <f>"FES1162771046"</f>
        <v>FES1162771046</v>
      </c>
      <c r="C2781" s="2" t="s">
        <v>1762</v>
      </c>
      <c r="D2781" s="2">
        <v>1</v>
      </c>
      <c r="E2781" s="2" t="str">
        <f>"2170758209"</f>
        <v>2170758209</v>
      </c>
      <c r="F2781" s="2" t="s">
        <v>17</v>
      </c>
      <c r="G2781" s="2" t="s">
        <v>18</v>
      </c>
      <c r="H2781" s="2" t="s">
        <v>25</v>
      </c>
      <c r="I2781" s="2" t="s">
        <v>26</v>
      </c>
      <c r="J2781" s="2" t="s">
        <v>27</v>
      </c>
      <c r="K2781" s="2" t="s">
        <v>1897</v>
      </c>
      <c r="L2781" s="3">
        <v>0.41597222222222219</v>
      </c>
      <c r="M2781" s="2" t="s">
        <v>521</v>
      </c>
      <c r="N2781" s="2" t="s">
        <v>500</v>
      </c>
      <c r="O2781" s="2"/>
    </row>
    <row r="2782" spans="1:15" x14ac:dyDescent="0.25">
      <c r="A2782" s="2" t="s">
        <v>15</v>
      </c>
      <c r="B2782" s="2" t="str">
        <f>"FES1162771149"</f>
        <v>FES1162771149</v>
      </c>
      <c r="C2782" s="2" t="s">
        <v>1762</v>
      </c>
      <c r="D2782" s="2">
        <v>1</v>
      </c>
      <c r="E2782" s="2" t="str">
        <f>"2170758022"</f>
        <v>2170758022</v>
      </c>
      <c r="F2782" s="2" t="s">
        <v>205</v>
      </c>
      <c r="G2782" s="2" t="s">
        <v>206</v>
      </c>
      <c r="H2782" s="2" t="s">
        <v>25</v>
      </c>
      <c r="I2782" s="2" t="s">
        <v>39</v>
      </c>
      <c r="J2782" s="2" t="s">
        <v>40</v>
      </c>
      <c r="K2782" s="2" t="s">
        <v>1969</v>
      </c>
      <c r="L2782" s="3">
        <v>0.43055555555555558</v>
      </c>
      <c r="M2782" s="2" t="s">
        <v>326</v>
      </c>
      <c r="N2782" s="2" t="s">
        <v>500</v>
      </c>
      <c r="O2782" s="2"/>
    </row>
    <row r="2783" spans="1:15" x14ac:dyDescent="0.25">
      <c r="A2783" s="2" t="s">
        <v>15</v>
      </c>
      <c r="B2783" s="2" t="str">
        <f>"FES1162771221"</f>
        <v>FES1162771221</v>
      </c>
      <c r="C2783" s="2" t="s">
        <v>1762</v>
      </c>
      <c r="D2783" s="2">
        <v>1</v>
      </c>
      <c r="E2783" s="2" t="str">
        <f>"2170757743"</f>
        <v>2170757743</v>
      </c>
      <c r="F2783" s="2" t="s">
        <v>17</v>
      </c>
      <c r="G2783" s="2" t="s">
        <v>18</v>
      </c>
      <c r="H2783" s="2" t="s">
        <v>25</v>
      </c>
      <c r="I2783" s="2" t="s">
        <v>26</v>
      </c>
      <c r="J2783" s="2" t="s">
        <v>474</v>
      </c>
      <c r="K2783" s="2" t="s">
        <v>1897</v>
      </c>
      <c r="L2783" s="3">
        <v>0.41666666666666669</v>
      </c>
      <c r="M2783" s="2" t="s">
        <v>1252</v>
      </c>
      <c r="N2783" s="2" t="s">
        <v>500</v>
      </c>
      <c r="O2783" s="2"/>
    </row>
    <row r="2784" spans="1:15" x14ac:dyDescent="0.25">
      <c r="A2784" s="2" t="s">
        <v>15</v>
      </c>
      <c r="B2784" s="2" t="str">
        <f>"FES1162771217"</f>
        <v>FES1162771217</v>
      </c>
      <c r="C2784" s="2" t="s">
        <v>1762</v>
      </c>
      <c r="D2784" s="2">
        <v>1</v>
      </c>
      <c r="E2784" s="2" t="str">
        <f>"2170755004"</f>
        <v>2170755004</v>
      </c>
      <c r="F2784" s="2" t="s">
        <v>17</v>
      </c>
      <c r="G2784" s="2" t="s">
        <v>18</v>
      </c>
      <c r="H2784" s="2" t="s">
        <v>19</v>
      </c>
      <c r="I2784" s="2" t="s">
        <v>111</v>
      </c>
      <c r="J2784" s="2" t="s">
        <v>1741</v>
      </c>
      <c r="K2784" s="2" t="s">
        <v>1897</v>
      </c>
      <c r="L2784" s="3">
        <v>0.38611111111111113</v>
      </c>
      <c r="M2784" s="2" t="s">
        <v>1996</v>
      </c>
      <c r="N2784" s="2" t="s">
        <v>500</v>
      </c>
      <c r="O2784" s="2"/>
    </row>
    <row r="2785" spans="1:15" x14ac:dyDescent="0.25">
      <c r="A2785" s="2" t="s">
        <v>15</v>
      </c>
      <c r="B2785" s="2" t="str">
        <f>"FES1162771215"</f>
        <v>FES1162771215</v>
      </c>
      <c r="C2785" s="2" t="s">
        <v>1762</v>
      </c>
      <c r="D2785" s="2">
        <v>1</v>
      </c>
      <c r="E2785" s="2" t="str">
        <f>"21708272"</f>
        <v>21708272</v>
      </c>
      <c r="F2785" s="2" t="s">
        <v>17</v>
      </c>
      <c r="G2785" s="2" t="s">
        <v>18</v>
      </c>
      <c r="H2785" s="2" t="s">
        <v>18</v>
      </c>
      <c r="I2785" s="2" t="s">
        <v>65</v>
      </c>
      <c r="J2785" s="2" t="s">
        <v>66</v>
      </c>
      <c r="K2785" s="2" t="s">
        <v>1897</v>
      </c>
      <c r="L2785" s="3">
        <v>0.3215277777777778</v>
      </c>
      <c r="M2785" s="2" t="s">
        <v>189</v>
      </c>
      <c r="N2785" s="2" t="s">
        <v>500</v>
      </c>
      <c r="O2785" s="2"/>
    </row>
    <row r="2786" spans="1:15" x14ac:dyDescent="0.25">
      <c r="A2786" s="2" t="s">
        <v>15</v>
      </c>
      <c r="B2786" s="2" t="str">
        <f>"FES1162771271"</f>
        <v>FES1162771271</v>
      </c>
      <c r="C2786" s="2" t="s">
        <v>1762</v>
      </c>
      <c r="D2786" s="2">
        <v>1</v>
      </c>
      <c r="E2786" s="2" t="str">
        <f>"2170758341"</f>
        <v>2170758341</v>
      </c>
      <c r="F2786" s="2" t="s">
        <v>17</v>
      </c>
      <c r="G2786" s="2" t="s">
        <v>18</v>
      </c>
      <c r="H2786" s="2" t="s">
        <v>78</v>
      </c>
      <c r="I2786" s="2" t="s">
        <v>79</v>
      </c>
      <c r="J2786" s="2" t="s">
        <v>1942</v>
      </c>
      <c r="K2786" s="2" t="s">
        <v>1897</v>
      </c>
      <c r="L2786" s="3">
        <v>0.43472222222222223</v>
      </c>
      <c r="M2786" s="2" t="s">
        <v>1997</v>
      </c>
      <c r="N2786" s="2" t="s">
        <v>500</v>
      </c>
      <c r="O2786" s="2"/>
    </row>
    <row r="2787" spans="1:15" x14ac:dyDescent="0.25">
      <c r="A2787" s="2" t="s">
        <v>15</v>
      </c>
      <c r="B2787" s="2" t="str">
        <f>"FES1162771043"</f>
        <v>FES1162771043</v>
      </c>
      <c r="C2787" s="2" t="s">
        <v>1762</v>
      </c>
      <c r="D2787" s="2">
        <v>1</v>
      </c>
      <c r="E2787" s="2" t="str">
        <f>"2170758206"</f>
        <v>2170758206</v>
      </c>
      <c r="F2787" s="2" t="s">
        <v>17</v>
      </c>
      <c r="G2787" s="2" t="s">
        <v>18</v>
      </c>
      <c r="H2787" s="2" t="s">
        <v>18</v>
      </c>
      <c r="I2787" s="2" t="s">
        <v>63</v>
      </c>
      <c r="J2787" s="2" t="s">
        <v>93</v>
      </c>
      <c r="K2787" s="2" t="s">
        <v>1897</v>
      </c>
      <c r="L2787" s="3">
        <v>0.37986111111111115</v>
      </c>
      <c r="M2787" s="2" t="s">
        <v>397</v>
      </c>
      <c r="N2787" s="2" t="s">
        <v>500</v>
      </c>
      <c r="O2787" s="2"/>
    </row>
    <row r="2788" spans="1:15" x14ac:dyDescent="0.25">
      <c r="A2788" s="2" t="s">
        <v>15</v>
      </c>
      <c r="B2788" s="2" t="str">
        <f>"FES1162762912"</f>
        <v>FES1162762912</v>
      </c>
      <c r="C2788" s="2" t="s">
        <v>1762</v>
      </c>
      <c r="D2788" s="2">
        <v>1</v>
      </c>
      <c r="E2788" s="2" t="str">
        <f>"21700751333"</f>
        <v>21700751333</v>
      </c>
      <c r="F2788" s="2" t="s">
        <v>17</v>
      </c>
      <c r="G2788" s="2" t="s">
        <v>18</v>
      </c>
      <c r="H2788" s="2" t="s">
        <v>88</v>
      </c>
      <c r="I2788" s="2" t="s">
        <v>109</v>
      </c>
      <c r="J2788" s="2" t="s">
        <v>1943</v>
      </c>
      <c r="K2788" s="2" t="s">
        <v>1897</v>
      </c>
      <c r="L2788" s="3">
        <v>0.38750000000000001</v>
      </c>
      <c r="M2788" s="2" t="s">
        <v>1998</v>
      </c>
      <c r="N2788" s="2" t="s">
        <v>500</v>
      </c>
      <c r="O2788" s="2"/>
    </row>
    <row r="2789" spans="1:15" x14ac:dyDescent="0.25">
      <c r="A2789" s="2" t="s">
        <v>15</v>
      </c>
      <c r="B2789" s="2" t="str">
        <f>"FES1162771042"</f>
        <v>FES1162771042</v>
      </c>
      <c r="C2789" s="2" t="s">
        <v>1762</v>
      </c>
      <c r="D2789" s="2">
        <v>1</v>
      </c>
      <c r="E2789" s="2" t="str">
        <f>"2170758204"</f>
        <v>2170758204</v>
      </c>
      <c r="F2789" s="2" t="s">
        <v>17</v>
      </c>
      <c r="G2789" s="2" t="s">
        <v>18</v>
      </c>
      <c r="H2789" s="2" t="s">
        <v>36</v>
      </c>
      <c r="I2789" s="2" t="s">
        <v>37</v>
      </c>
      <c r="J2789" s="2" t="s">
        <v>102</v>
      </c>
      <c r="K2789" s="2" t="s">
        <v>1897</v>
      </c>
      <c r="L2789" s="3">
        <v>0.38125000000000003</v>
      </c>
      <c r="M2789" s="2" t="s">
        <v>1690</v>
      </c>
      <c r="N2789" s="2" t="s">
        <v>500</v>
      </c>
      <c r="O2789" s="2"/>
    </row>
    <row r="2790" spans="1:15" x14ac:dyDescent="0.25">
      <c r="A2790" s="2" t="s">
        <v>15</v>
      </c>
      <c r="B2790" s="2" t="str">
        <f>"FES1162771017"</f>
        <v>FES1162771017</v>
      </c>
      <c r="C2790" s="2" t="s">
        <v>1762</v>
      </c>
      <c r="D2790" s="2">
        <v>1</v>
      </c>
      <c r="E2790" s="2" t="str">
        <f>"2170758142"</f>
        <v>2170758142</v>
      </c>
      <c r="F2790" s="2" t="s">
        <v>17</v>
      </c>
      <c r="G2790" s="2" t="s">
        <v>18</v>
      </c>
      <c r="H2790" s="2" t="s">
        <v>36</v>
      </c>
      <c r="I2790" s="2" t="s">
        <v>37</v>
      </c>
      <c r="J2790" s="2" t="s">
        <v>280</v>
      </c>
      <c r="K2790" s="2" t="s">
        <v>1897</v>
      </c>
      <c r="L2790" s="3">
        <v>0.35902777777777778</v>
      </c>
      <c r="M2790" s="2" t="s">
        <v>720</v>
      </c>
      <c r="N2790" s="2" t="s">
        <v>500</v>
      </c>
      <c r="O2790" s="2"/>
    </row>
    <row r="2791" spans="1:15" x14ac:dyDescent="0.25">
      <c r="A2791" s="2" t="s">
        <v>15</v>
      </c>
      <c r="B2791" s="2" t="str">
        <f>"FES1162771069"</f>
        <v>FES1162771069</v>
      </c>
      <c r="C2791" s="2" t="s">
        <v>1762</v>
      </c>
      <c r="D2791" s="2">
        <v>1</v>
      </c>
      <c r="E2791" s="2" t="str">
        <f>"2170753737"</f>
        <v>2170753737</v>
      </c>
      <c r="F2791" s="2" t="s">
        <v>17</v>
      </c>
      <c r="G2791" s="2" t="s">
        <v>18</v>
      </c>
      <c r="H2791" s="2" t="s">
        <v>18</v>
      </c>
      <c r="I2791" s="2" t="s">
        <v>63</v>
      </c>
      <c r="J2791" s="2" t="s">
        <v>1795</v>
      </c>
      <c r="K2791" s="2" t="s">
        <v>1897</v>
      </c>
      <c r="L2791" s="3">
        <v>0.3354166666666667</v>
      </c>
      <c r="M2791" s="2" t="s">
        <v>1999</v>
      </c>
      <c r="N2791" s="2" t="s">
        <v>500</v>
      </c>
      <c r="O2791" s="2"/>
    </row>
    <row r="2792" spans="1:15" x14ac:dyDescent="0.25">
      <c r="A2792" s="2" t="s">
        <v>15</v>
      </c>
      <c r="B2792" s="2" t="str">
        <f>"FES1162771033"</f>
        <v>FES1162771033</v>
      </c>
      <c r="C2792" s="2" t="s">
        <v>1762</v>
      </c>
      <c r="D2792" s="2">
        <v>1</v>
      </c>
      <c r="E2792" s="2" t="str">
        <f>"2170758183"</f>
        <v>2170758183</v>
      </c>
      <c r="F2792" s="2" t="s">
        <v>17</v>
      </c>
      <c r="G2792" s="2" t="s">
        <v>18</v>
      </c>
      <c r="H2792" s="2" t="s">
        <v>78</v>
      </c>
      <c r="I2792" s="2" t="s">
        <v>159</v>
      </c>
      <c r="J2792" s="2" t="s">
        <v>402</v>
      </c>
      <c r="K2792" s="2" t="s">
        <v>1897</v>
      </c>
      <c r="L2792" s="3">
        <v>0.42222222222222222</v>
      </c>
      <c r="M2792" s="2" t="s">
        <v>1197</v>
      </c>
      <c r="N2792" s="2" t="s">
        <v>500</v>
      </c>
      <c r="O2792" s="2"/>
    </row>
    <row r="2793" spans="1:15" x14ac:dyDescent="0.25">
      <c r="A2793" s="2" t="s">
        <v>15</v>
      </c>
      <c r="B2793" s="2" t="str">
        <f>"FES1162771025"</f>
        <v>FES1162771025</v>
      </c>
      <c r="C2793" s="2" t="s">
        <v>1762</v>
      </c>
      <c r="D2793" s="2">
        <v>1</v>
      </c>
      <c r="E2793" s="2" t="str">
        <f>"2170758171"</f>
        <v>2170758171</v>
      </c>
      <c r="F2793" s="2" t="s">
        <v>17</v>
      </c>
      <c r="G2793" s="2" t="s">
        <v>18</v>
      </c>
      <c r="H2793" s="2" t="s">
        <v>36</v>
      </c>
      <c r="I2793" s="2" t="s">
        <v>37</v>
      </c>
      <c r="J2793" s="2" t="s">
        <v>102</v>
      </c>
      <c r="K2793" s="2" t="s">
        <v>1897</v>
      </c>
      <c r="L2793" s="3">
        <v>0.38125000000000003</v>
      </c>
      <c r="M2793" s="2" t="s">
        <v>1690</v>
      </c>
      <c r="N2793" s="2" t="s">
        <v>500</v>
      </c>
      <c r="O2793" s="2"/>
    </row>
    <row r="2794" spans="1:15" x14ac:dyDescent="0.25">
      <c r="A2794" s="2" t="s">
        <v>15</v>
      </c>
      <c r="B2794" s="2" t="str">
        <f>"FES1162771015"</f>
        <v>FES1162771015</v>
      </c>
      <c r="C2794" s="2" t="s">
        <v>1762</v>
      </c>
      <c r="D2794" s="2">
        <v>1</v>
      </c>
      <c r="E2794" s="2" t="str">
        <f>"2170758118"</f>
        <v>2170758118</v>
      </c>
      <c r="F2794" s="2" t="s">
        <v>17</v>
      </c>
      <c r="G2794" s="2" t="s">
        <v>18</v>
      </c>
      <c r="H2794" s="2" t="s">
        <v>36</v>
      </c>
      <c r="I2794" s="2" t="s">
        <v>37</v>
      </c>
      <c r="J2794" s="2" t="s">
        <v>1809</v>
      </c>
      <c r="K2794" s="2" t="s">
        <v>1969</v>
      </c>
      <c r="L2794" s="3">
        <v>0.45902777777777781</v>
      </c>
      <c r="M2794" s="2" t="s">
        <v>2075</v>
      </c>
      <c r="N2794" s="2" t="s">
        <v>500</v>
      </c>
      <c r="O2794" s="2"/>
    </row>
    <row r="2795" spans="1:15" x14ac:dyDescent="0.25">
      <c r="A2795" s="2" t="s">
        <v>15</v>
      </c>
      <c r="B2795" s="2" t="str">
        <f>"FES1162771032"</f>
        <v>FES1162771032</v>
      </c>
      <c r="C2795" s="2" t="s">
        <v>1762</v>
      </c>
      <c r="D2795" s="2">
        <v>1</v>
      </c>
      <c r="E2795" s="2" t="str">
        <f>"21707588181"</f>
        <v>21707588181</v>
      </c>
      <c r="F2795" s="2" t="s">
        <v>17</v>
      </c>
      <c r="G2795" s="2" t="s">
        <v>18</v>
      </c>
      <c r="H2795" s="2" t="s">
        <v>18</v>
      </c>
      <c r="I2795" s="2" t="s">
        <v>57</v>
      </c>
      <c r="J2795" s="2" t="s">
        <v>1313</v>
      </c>
      <c r="K2795" s="2" t="s">
        <v>1897</v>
      </c>
      <c r="L2795" s="3">
        <v>0.35000000000000003</v>
      </c>
      <c r="M2795" s="2" t="s">
        <v>2000</v>
      </c>
      <c r="N2795" s="2" t="s">
        <v>500</v>
      </c>
      <c r="O2795" s="2"/>
    </row>
    <row r="2796" spans="1:15" x14ac:dyDescent="0.25">
      <c r="A2796" s="2" t="s">
        <v>15</v>
      </c>
      <c r="B2796" s="2" t="str">
        <f>"FES1162771085"</f>
        <v>FES1162771085</v>
      </c>
      <c r="C2796" s="2" t="s">
        <v>1762</v>
      </c>
      <c r="D2796" s="2">
        <v>1</v>
      </c>
      <c r="E2796" s="2" t="str">
        <f>"2170755759"</f>
        <v>2170755759</v>
      </c>
      <c r="F2796" s="2" t="s">
        <v>17</v>
      </c>
      <c r="G2796" s="2" t="s">
        <v>18</v>
      </c>
      <c r="H2796" s="2" t="s">
        <v>36</v>
      </c>
      <c r="I2796" s="2" t="s">
        <v>37</v>
      </c>
      <c r="J2796" s="2" t="s">
        <v>403</v>
      </c>
      <c r="K2796" s="2" t="s">
        <v>1897</v>
      </c>
      <c r="L2796" s="3">
        <v>0.55694444444444446</v>
      </c>
      <c r="M2796" s="2" t="s">
        <v>2001</v>
      </c>
      <c r="N2796" s="2" t="s">
        <v>500</v>
      </c>
      <c r="O2796" s="2"/>
    </row>
    <row r="2797" spans="1:15" x14ac:dyDescent="0.25">
      <c r="A2797" s="2" t="s">
        <v>15</v>
      </c>
      <c r="B2797" s="2" t="str">
        <f>"FES1162771073"</f>
        <v>FES1162771073</v>
      </c>
      <c r="C2797" s="2" t="s">
        <v>1762</v>
      </c>
      <c r="D2797" s="2">
        <v>1</v>
      </c>
      <c r="E2797" s="2" t="str">
        <f>"2170754465"</f>
        <v>2170754465</v>
      </c>
      <c r="F2797" s="2" t="s">
        <v>17</v>
      </c>
      <c r="G2797" s="2" t="s">
        <v>18</v>
      </c>
      <c r="H2797" s="2" t="s">
        <v>19</v>
      </c>
      <c r="I2797" s="2" t="s">
        <v>73</v>
      </c>
      <c r="J2797" s="2" t="s">
        <v>76</v>
      </c>
      <c r="K2797" s="2" t="s">
        <v>1897</v>
      </c>
      <c r="L2797" s="3">
        <v>0.58194444444444449</v>
      </c>
      <c r="M2797" s="2" t="s">
        <v>197</v>
      </c>
      <c r="N2797" s="2" t="s">
        <v>500</v>
      </c>
      <c r="O2797" s="2"/>
    </row>
    <row r="2798" spans="1:15" x14ac:dyDescent="0.25">
      <c r="A2798" s="2" t="s">
        <v>15</v>
      </c>
      <c r="B2798" s="2" t="str">
        <f>"FES1162771094"</f>
        <v>FES1162771094</v>
      </c>
      <c r="C2798" s="2" t="s">
        <v>1762</v>
      </c>
      <c r="D2798" s="2">
        <v>1</v>
      </c>
      <c r="E2798" s="2" t="str">
        <f>"2170756108"</f>
        <v>2170756108</v>
      </c>
      <c r="F2798" s="2" t="s">
        <v>17</v>
      </c>
      <c r="G2798" s="2" t="s">
        <v>18</v>
      </c>
      <c r="H2798" s="2" t="s">
        <v>19</v>
      </c>
      <c r="I2798" s="2" t="s">
        <v>269</v>
      </c>
      <c r="J2798" s="2" t="s">
        <v>655</v>
      </c>
      <c r="K2798" s="2" t="s">
        <v>1897</v>
      </c>
      <c r="L2798" s="3">
        <v>0.36944444444444446</v>
      </c>
      <c r="M2798" s="2" t="s">
        <v>2002</v>
      </c>
      <c r="N2798" s="2" t="s">
        <v>500</v>
      </c>
      <c r="O2798" s="2"/>
    </row>
    <row r="2799" spans="1:15" x14ac:dyDescent="0.25">
      <c r="A2799" s="2" t="s">
        <v>15</v>
      </c>
      <c r="B2799" s="2" t="str">
        <f>"FES1162771166"</f>
        <v>FES1162771166</v>
      </c>
      <c r="C2799" s="2" t="s">
        <v>1762</v>
      </c>
      <c r="D2799" s="2">
        <v>1</v>
      </c>
      <c r="E2799" s="2" t="str">
        <f>"2170755130"</f>
        <v>2170755130</v>
      </c>
      <c r="F2799" s="2" t="s">
        <v>17</v>
      </c>
      <c r="G2799" s="2" t="s">
        <v>18</v>
      </c>
      <c r="H2799" s="2" t="s">
        <v>78</v>
      </c>
      <c r="I2799" s="2" t="s">
        <v>79</v>
      </c>
      <c r="J2799" s="2" t="s">
        <v>113</v>
      </c>
      <c r="K2799" s="2" t="s">
        <v>1897</v>
      </c>
      <c r="L2799" s="3">
        <v>0.42222222222222222</v>
      </c>
      <c r="M2799" s="2" t="s">
        <v>2003</v>
      </c>
      <c r="N2799" s="2" t="s">
        <v>500</v>
      </c>
      <c r="O2799" s="2"/>
    </row>
    <row r="2800" spans="1:15" x14ac:dyDescent="0.25">
      <c r="A2800" s="2" t="s">
        <v>15</v>
      </c>
      <c r="B2800" s="2" t="str">
        <f>"FES1162771040"</f>
        <v>FES1162771040</v>
      </c>
      <c r="C2800" s="2" t="s">
        <v>1762</v>
      </c>
      <c r="D2800" s="2">
        <v>1</v>
      </c>
      <c r="E2800" s="2" t="str">
        <f>"2170758201"</f>
        <v>2170758201</v>
      </c>
      <c r="F2800" s="2" t="s">
        <v>17</v>
      </c>
      <c r="G2800" s="2" t="s">
        <v>18</v>
      </c>
      <c r="H2800" s="2" t="s">
        <v>33</v>
      </c>
      <c r="I2800" s="2" t="s">
        <v>34</v>
      </c>
      <c r="J2800" s="2" t="s">
        <v>868</v>
      </c>
      <c r="K2800" s="2" t="s">
        <v>1897</v>
      </c>
      <c r="L2800" s="3">
        <v>0.43333333333333335</v>
      </c>
      <c r="M2800" s="2" t="s">
        <v>861</v>
      </c>
      <c r="N2800" s="2" t="s">
        <v>500</v>
      </c>
      <c r="O2800" s="2"/>
    </row>
    <row r="2801" spans="1:15" x14ac:dyDescent="0.25">
      <c r="A2801" s="2" t="s">
        <v>15</v>
      </c>
      <c r="B2801" s="2" t="str">
        <f>"FES1162770981"</f>
        <v>FES1162770981</v>
      </c>
      <c r="C2801" s="2" t="s">
        <v>1762</v>
      </c>
      <c r="D2801" s="2">
        <v>1</v>
      </c>
      <c r="E2801" s="2" t="str">
        <f>"2170758122"</f>
        <v>2170758122</v>
      </c>
      <c r="F2801" s="2" t="s">
        <v>17</v>
      </c>
      <c r="G2801" s="2" t="s">
        <v>18</v>
      </c>
      <c r="H2801" s="2" t="s">
        <v>18</v>
      </c>
      <c r="I2801" s="2" t="s">
        <v>63</v>
      </c>
      <c r="J2801" s="2" t="s">
        <v>1037</v>
      </c>
      <c r="K2801" s="2" t="s">
        <v>1897</v>
      </c>
      <c r="L2801" s="3">
        <v>0.3520833333333333</v>
      </c>
      <c r="M2801" s="2" t="s">
        <v>2004</v>
      </c>
      <c r="N2801" s="2" t="s">
        <v>500</v>
      </c>
      <c r="O2801" s="2"/>
    </row>
    <row r="2802" spans="1:15" x14ac:dyDescent="0.25">
      <c r="A2802" s="2" t="s">
        <v>15</v>
      </c>
      <c r="B2802" s="2" t="str">
        <f>"FES1162770993"</f>
        <v>FES1162770993</v>
      </c>
      <c r="C2802" s="2" t="s">
        <v>1762</v>
      </c>
      <c r="D2802" s="2">
        <v>1</v>
      </c>
      <c r="E2802" s="2" t="str">
        <f>"2170758131"</f>
        <v>2170758131</v>
      </c>
      <c r="F2802" s="2" t="s">
        <v>17</v>
      </c>
      <c r="G2802" s="2" t="s">
        <v>18</v>
      </c>
      <c r="H2802" s="2" t="s">
        <v>18</v>
      </c>
      <c r="I2802" s="2" t="s">
        <v>290</v>
      </c>
      <c r="J2802" s="2" t="s">
        <v>458</v>
      </c>
      <c r="K2802" s="2" t="s">
        <v>1897</v>
      </c>
      <c r="L2802" s="3">
        <v>0.4375</v>
      </c>
      <c r="M2802" s="2" t="s">
        <v>2005</v>
      </c>
      <c r="N2802" s="2" t="s">
        <v>500</v>
      </c>
      <c r="O2802" s="2"/>
    </row>
    <row r="2803" spans="1:15" x14ac:dyDescent="0.25">
      <c r="A2803" s="2" t="s">
        <v>15</v>
      </c>
      <c r="B2803" s="2" t="str">
        <f>"FES1162771141"</f>
        <v>FES1162771141</v>
      </c>
      <c r="C2803" s="2" t="s">
        <v>1762</v>
      </c>
      <c r="D2803" s="2">
        <v>1</v>
      </c>
      <c r="E2803" s="2" t="str">
        <f>"2170756778"</f>
        <v>2170756778</v>
      </c>
      <c r="F2803" s="2" t="s">
        <v>17</v>
      </c>
      <c r="G2803" s="2" t="s">
        <v>18</v>
      </c>
      <c r="H2803" s="2" t="s">
        <v>78</v>
      </c>
      <c r="I2803" s="2" t="s">
        <v>79</v>
      </c>
      <c r="J2803" s="2" t="s">
        <v>898</v>
      </c>
      <c r="K2803" s="2" t="s">
        <v>1897</v>
      </c>
      <c r="L2803" s="3">
        <v>0.40972222222222227</v>
      </c>
      <c r="M2803" s="2" t="s">
        <v>972</v>
      </c>
      <c r="N2803" s="2" t="s">
        <v>500</v>
      </c>
      <c r="O2803" s="2"/>
    </row>
    <row r="2804" spans="1:15" x14ac:dyDescent="0.25">
      <c r="A2804" s="2" t="s">
        <v>15</v>
      </c>
      <c r="B2804" s="2" t="str">
        <f>"FES1162771029"</f>
        <v>FES1162771029</v>
      </c>
      <c r="C2804" s="2" t="s">
        <v>1762</v>
      </c>
      <c r="D2804" s="2">
        <v>1</v>
      </c>
      <c r="E2804" s="2" t="str">
        <f>"2170758176"</f>
        <v>2170758176</v>
      </c>
      <c r="F2804" s="2" t="s">
        <v>17</v>
      </c>
      <c r="G2804" s="2" t="s">
        <v>18</v>
      </c>
      <c r="H2804" s="2" t="s">
        <v>88</v>
      </c>
      <c r="I2804" s="2" t="s">
        <v>109</v>
      </c>
      <c r="J2804" s="2" t="s">
        <v>636</v>
      </c>
      <c r="K2804" s="2" t="s">
        <v>1897</v>
      </c>
      <c r="L2804" s="3">
        <v>0.60347222222222219</v>
      </c>
      <c r="M2804" s="2" t="s">
        <v>2006</v>
      </c>
      <c r="N2804" s="2" t="s">
        <v>500</v>
      </c>
      <c r="O2804" s="2"/>
    </row>
    <row r="2805" spans="1:15" x14ac:dyDescent="0.25">
      <c r="A2805" s="2" t="s">
        <v>15</v>
      </c>
      <c r="B2805" s="2" t="str">
        <f>"FES1162771050"</f>
        <v>FES1162771050</v>
      </c>
      <c r="C2805" s="2" t="s">
        <v>1762</v>
      </c>
      <c r="D2805" s="2">
        <v>1</v>
      </c>
      <c r="E2805" s="2" t="str">
        <f>"2170758212"</f>
        <v>2170758212</v>
      </c>
      <c r="F2805" s="2" t="s">
        <v>17</v>
      </c>
      <c r="G2805" s="2" t="s">
        <v>18</v>
      </c>
      <c r="H2805" s="2" t="s">
        <v>36</v>
      </c>
      <c r="I2805" s="2" t="s">
        <v>37</v>
      </c>
      <c r="J2805" s="2" t="s">
        <v>102</v>
      </c>
      <c r="K2805" s="2" t="s">
        <v>1897</v>
      </c>
      <c r="L2805" s="3">
        <v>0.38125000000000003</v>
      </c>
      <c r="M2805" s="2" t="s">
        <v>1690</v>
      </c>
      <c r="N2805" s="2" t="s">
        <v>500</v>
      </c>
      <c r="O2805" s="2"/>
    </row>
    <row r="2806" spans="1:15" x14ac:dyDescent="0.25">
      <c r="A2806" s="2" t="s">
        <v>15</v>
      </c>
      <c r="B2806" s="2" t="str">
        <f>"FES1162771016"</f>
        <v>FES1162771016</v>
      </c>
      <c r="C2806" s="2" t="s">
        <v>1762</v>
      </c>
      <c r="D2806" s="2">
        <v>1</v>
      </c>
      <c r="E2806" s="2" t="str">
        <f>"2170758141"</f>
        <v>2170758141</v>
      </c>
      <c r="F2806" s="2" t="s">
        <v>17</v>
      </c>
      <c r="G2806" s="2" t="s">
        <v>18</v>
      </c>
      <c r="H2806" s="2" t="s">
        <v>36</v>
      </c>
      <c r="I2806" s="2" t="s">
        <v>37</v>
      </c>
      <c r="J2806" s="2" t="s">
        <v>102</v>
      </c>
      <c r="K2806" s="2" t="s">
        <v>1897</v>
      </c>
      <c r="L2806" s="3">
        <v>0.38125000000000003</v>
      </c>
      <c r="M2806" s="2" t="s">
        <v>1690</v>
      </c>
      <c r="N2806" s="2" t="s">
        <v>500</v>
      </c>
      <c r="O2806" s="2"/>
    </row>
    <row r="2807" spans="1:15" x14ac:dyDescent="0.25">
      <c r="A2807" s="2" t="s">
        <v>15</v>
      </c>
      <c r="B2807" s="2" t="str">
        <f>"FES1162771087"</f>
        <v>FES1162771087</v>
      </c>
      <c r="C2807" s="2" t="s">
        <v>1762</v>
      </c>
      <c r="D2807" s="2">
        <v>1</v>
      </c>
      <c r="E2807" s="2" t="str">
        <f>"2170755817"</f>
        <v>2170755817</v>
      </c>
      <c r="F2807" s="2" t="s">
        <v>17</v>
      </c>
      <c r="G2807" s="2" t="s">
        <v>18</v>
      </c>
      <c r="H2807" s="2" t="s">
        <v>36</v>
      </c>
      <c r="I2807" s="2" t="s">
        <v>37</v>
      </c>
      <c r="J2807" s="2" t="s">
        <v>1458</v>
      </c>
      <c r="K2807" s="2" t="s">
        <v>1897</v>
      </c>
      <c r="L2807" s="3">
        <v>0.42638888888888887</v>
      </c>
      <c r="M2807" s="2" t="s">
        <v>2007</v>
      </c>
      <c r="N2807" s="2" t="s">
        <v>500</v>
      </c>
      <c r="O2807" s="2"/>
    </row>
    <row r="2808" spans="1:15" x14ac:dyDescent="0.25">
      <c r="A2808" s="2" t="s">
        <v>15</v>
      </c>
      <c r="B2808" s="2" t="str">
        <f>"FES1162770966"</f>
        <v>FES1162770966</v>
      </c>
      <c r="C2808" s="2" t="s">
        <v>1762</v>
      </c>
      <c r="D2808" s="2">
        <v>1</v>
      </c>
      <c r="E2808" s="2" t="str">
        <f>"2170758098"</f>
        <v>2170758098</v>
      </c>
      <c r="F2808" s="2" t="s">
        <v>17</v>
      </c>
      <c r="G2808" s="2" t="s">
        <v>18</v>
      </c>
      <c r="H2808" s="2" t="s">
        <v>78</v>
      </c>
      <c r="I2808" s="2" t="s">
        <v>79</v>
      </c>
      <c r="J2808" s="2" t="s">
        <v>630</v>
      </c>
      <c r="K2808" s="2" t="s">
        <v>1897</v>
      </c>
      <c r="L2808" s="3">
        <v>0.55208333333333337</v>
      </c>
      <c r="M2808" s="2" t="s">
        <v>748</v>
      </c>
      <c r="N2808" s="2" t="s">
        <v>500</v>
      </c>
      <c r="O2808" s="2"/>
    </row>
    <row r="2809" spans="1:15" x14ac:dyDescent="0.25">
      <c r="A2809" s="2" t="s">
        <v>15</v>
      </c>
      <c r="B2809" s="2" t="str">
        <f>"FES1162771145"</f>
        <v>FES1162771145</v>
      </c>
      <c r="C2809" s="2" t="s">
        <v>1762</v>
      </c>
      <c r="D2809" s="2">
        <v>1</v>
      </c>
      <c r="E2809" s="2" t="str">
        <f>"2170757706"</f>
        <v>2170757706</v>
      </c>
      <c r="F2809" s="2" t="s">
        <v>17</v>
      </c>
      <c r="G2809" s="2" t="s">
        <v>18</v>
      </c>
      <c r="H2809" s="2" t="s">
        <v>33</v>
      </c>
      <c r="I2809" s="2" t="s">
        <v>34</v>
      </c>
      <c r="J2809" s="2" t="s">
        <v>400</v>
      </c>
      <c r="K2809" s="2" t="s">
        <v>1897</v>
      </c>
      <c r="L2809" s="3">
        <v>0.43333333333333335</v>
      </c>
      <c r="M2809" s="2" t="s">
        <v>706</v>
      </c>
      <c r="N2809" s="2" t="s">
        <v>500</v>
      </c>
      <c r="O2809" s="2"/>
    </row>
    <row r="2810" spans="1:15" x14ac:dyDescent="0.25">
      <c r="A2810" s="2" t="s">
        <v>15</v>
      </c>
      <c r="B2810" s="2" t="str">
        <f>"FES1162771062"</f>
        <v>FES1162771062</v>
      </c>
      <c r="C2810" s="2" t="s">
        <v>1762</v>
      </c>
      <c r="D2810" s="2">
        <v>1</v>
      </c>
      <c r="E2810" s="2" t="str">
        <f>"2170758224"</f>
        <v>2170758224</v>
      </c>
      <c r="F2810" s="2" t="s">
        <v>17</v>
      </c>
      <c r="G2810" s="2" t="s">
        <v>18</v>
      </c>
      <c r="H2810" s="2" t="s">
        <v>363</v>
      </c>
      <c r="I2810" s="2" t="s">
        <v>489</v>
      </c>
      <c r="J2810" s="2" t="s">
        <v>490</v>
      </c>
      <c r="K2810" s="2" t="s">
        <v>1897</v>
      </c>
      <c r="L2810" s="3">
        <v>0.39583333333333331</v>
      </c>
      <c r="M2810" s="2" t="s">
        <v>594</v>
      </c>
      <c r="N2810" s="2" t="s">
        <v>500</v>
      </c>
      <c r="O2810" s="2"/>
    </row>
    <row r="2811" spans="1:15" x14ac:dyDescent="0.25">
      <c r="A2811" s="2" t="s">
        <v>15</v>
      </c>
      <c r="B2811" s="2" t="str">
        <f>"FES1162771150"</f>
        <v>FES1162771150</v>
      </c>
      <c r="C2811" s="2" t="s">
        <v>1762</v>
      </c>
      <c r="D2811" s="2">
        <v>1</v>
      </c>
      <c r="E2811" s="2" t="str">
        <f>"2170758042"</f>
        <v>2170758042</v>
      </c>
      <c r="F2811" s="2" t="s">
        <v>17</v>
      </c>
      <c r="G2811" s="2" t="s">
        <v>18</v>
      </c>
      <c r="H2811" s="2" t="s">
        <v>78</v>
      </c>
      <c r="I2811" s="2" t="s">
        <v>79</v>
      </c>
      <c r="J2811" s="2" t="s">
        <v>113</v>
      </c>
      <c r="K2811" s="2" t="s">
        <v>1897</v>
      </c>
      <c r="L2811" s="3">
        <v>0.42222222222222222</v>
      </c>
      <c r="M2811" s="2" t="s">
        <v>2003</v>
      </c>
      <c r="N2811" s="2" t="s">
        <v>500</v>
      </c>
      <c r="O2811" s="2"/>
    </row>
    <row r="2812" spans="1:15" x14ac:dyDescent="0.25">
      <c r="A2812" s="2" t="s">
        <v>15</v>
      </c>
      <c r="B2812" s="2" t="str">
        <f>"FES1162771091"</f>
        <v>FES1162771091</v>
      </c>
      <c r="C2812" s="2" t="s">
        <v>1762</v>
      </c>
      <c r="D2812" s="2">
        <v>1</v>
      </c>
      <c r="E2812" s="2" t="str">
        <f>"2170755991"</f>
        <v>2170755991</v>
      </c>
      <c r="F2812" s="2" t="s">
        <v>17</v>
      </c>
      <c r="G2812" s="2" t="s">
        <v>18</v>
      </c>
      <c r="H2812" s="2" t="s">
        <v>36</v>
      </c>
      <c r="I2812" s="2" t="s">
        <v>37</v>
      </c>
      <c r="J2812" s="2" t="s">
        <v>661</v>
      </c>
      <c r="K2812" s="2" t="s">
        <v>1897</v>
      </c>
      <c r="L2812" s="3">
        <v>0.3611111111111111</v>
      </c>
      <c r="M2812" s="2" t="s">
        <v>2008</v>
      </c>
      <c r="N2812" s="2" t="s">
        <v>500</v>
      </c>
      <c r="O2812" s="2"/>
    </row>
    <row r="2813" spans="1:15" x14ac:dyDescent="0.25">
      <c r="A2813" s="2" t="s">
        <v>15</v>
      </c>
      <c r="B2813" s="2" t="str">
        <f>"FES1162771162"</f>
        <v>FES1162771162</v>
      </c>
      <c r="C2813" s="2" t="s">
        <v>1762</v>
      </c>
      <c r="D2813" s="2">
        <v>1</v>
      </c>
      <c r="E2813" s="2" t="str">
        <f>"2170754575"</f>
        <v>2170754575</v>
      </c>
      <c r="F2813" s="2" t="s">
        <v>17</v>
      </c>
      <c r="G2813" s="2" t="s">
        <v>18</v>
      </c>
      <c r="H2813" s="2" t="s">
        <v>25</v>
      </c>
      <c r="I2813" s="2" t="s">
        <v>26</v>
      </c>
      <c r="J2813" s="2" t="s">
        <v>44</v>
      </c>
      <c r="K2813" s="2" t="s">
        <v>1897</v>
      </c>
      <c r="L2813" s="3">
        <v>0.48402777777777778</v>
      </c>
      <c r="M2813" s="2" t="s">
        <v>181</v>
      </c>
      <c r="N2813" s="2" t="s">
        <v>500</v>
      </c>
      <c r="O2813" s="2"/>
    </row>
    <row r="2814" spans="1:15" x14ac:dyDescent="0.25">
      <c r="A2814" s="2" t="s">
        <v>15</v>
      </c>
      <c r="B2814" s="2" t="str">
        <f>"FES1162771161"</f>
        <v>FES1162771161</v>
      </c>
      <c r="C2814" s="2" t="s">
        <v>1762</v>
      </c>
      <c r="D2814" s="2">
        <v>1</v>
      </c>
      <c r="E2814" s="2" t="str">
        <f>"2170754125"</f>
        <v>2170754125</v>
      </c>
      <c r="F2814" s="2" t="s">
        <v>17</v>
      </c>
      <c r="G2814" s="2" t="s">
        <v>18</v>
      </c>
      <c r="H2814" s="2" t="s">
        <v>36</v>
      </c>
      <c r="I2814" s="2" t="s">
        <v>37</v>
      </c>
      <c r="J2814" s="2" t="s">
        <v>378</v>
      </c>
      <c r="K2814" s="2" t="s">
        <v>1897</v>
      </c>
      <c r="L2814" s="3">
        <v>0.4236111111111111</v>
      </c>
      <c r="M2814" s="2" t="s">
        <v>379</v>
      </c>
      <c r="N2814" s="2" t="s">
        <v>500</v>
      </c>
      <c r="O2814" s="2"/>
    </row>
    <row r="2815" spans="1:15" x14ac:dyDescent="0.25">
      <c r="A2815" s="2" t="s">
        <v>15</v>
      </c>
      <c r="B2815" s="2" t="str">
        <f>"FES1162771177"</f>
        <v>FES1162771177</v>
      </c>
      <c r="C2815" s="2" t="s">
        <v>1762</v>
      </c>
      <c r="D2815" s="2">
        <v>1</v>
      </c>
      <c r="E2815" s="2" t="str">
        <f>"2170755991"</f>
        <v>2170755991</v>
      </c>
      <c r="F2815" s="2" t="s">
        <v>17</v>
      </c>
      <c r="G2815" s="2" t="s">
        <v>18</v>
      </c>
      <c r="H2815" s="2" t="s">
        <v>36</v>
      </c>
      <c r="I2815" s="2" t="s">
        <v>37</v>
      </c>
      <c r="J2815" s="2" t="s">
        <v>661</v>
      </c>
      <c r="K2815" s="2" t="s">
        <v>1897</v>
      </c>
      <c r="L2815" s="3">
        <v>0.3611111111111111</v>
      </c>
      <c r="M2815" s="2" t="s">
        <v>2008</v>
      </c>
      <c r="N2815" s="2" t="s">
        <v>500</v>
      </c>
      <c r="O2815" s="2"/>
    </row>
    <row r="2816" spans="1:15" x14ac:dyDescent="0.25">
      <c r="A2816" s="2" t="s">
        <v>15</v>
      </c>
      <c r="B2816" s="2" t="str">
        <f>"FES1162771007"</f>
        <v>FES1162771007</v>
      </c>
      <c r="C2816" s="2" t="s">
        <v>1762</v>
      </c>
      <c r="D2816" s="2">
        <v>1</v>
      </c>
      <c r="E2816" s="2" t="str">
        <f>"2170757697"</f>
        <v>2170757697</v>
      </c>
      <c r="F2816" s="2" t="s">
        <v>17</v>
      </c>
      <c r="G2816" s="2" t="s">
        <v>18</v>
      </c>
      <c r="H2816" s="2" t="s">
        <v>25</v>
      </c>
      <c r="I2816" s="2" t="s">
        <v>26</v>
      </c>
      <c r="J2816" s="2" t="s">
        <v>422</v>
      </c>
      <c r="K2816" s="2" t="s">
        <v>1897</v>
      </c>
      <c r="L2816" s="3">
        <v>0.35833333333333334</v>
      </c>
      <c r="M2816" s="2" t="s">
        <v>813</v>
      </c>
      <c r="N2816" s="2" t="s">
        <v>500</v>
      </c>
      <c r="O2816" s="2"/>
    </row>
    <row r="2817" spans="1:15" x14ac:dyDescent="0.25">
      <c r="A2817" s="2" t="s">
        <v>15</v>
      </c>
      <c r="B2817" s="2" t="str">
        <f>"FES1162771093"</f>
        <v>FES1162771093</v>
      </c>
      <c r="C2817" s="2" t="s">
        <v>1762</v>
      </c>
      <c r="D2817" s="2">
        <v>1</v>
      </c>
      <c r="E2817" s="2" t="str">
        <f>"2170756069"</f>
        <v>2170756069</v>
      </c>
      <c r="F2817" s="2" t="s">
        <v>17</v>
      </c>
      <c r="G2817" s="2" t="s">
        <v>18</v>
      </c>
      <c r="H2817" s="2" t="s">
        <v>18</v>
      </c>
      <c r="I2817" s="2" t="s">
        <v>50</v>
      </c>
      <c r="J2817" s="2" t="s">
        <v>285</v>
      </c>
      <c r="K2817" s="2" t="s">
        <v>1897</v>
      </c>
      <c r="L2817" s="3">
        <v>0.44375000000000003</v>
      </c>
      <c r="M2817" s="2" t="s">
        <v>2009</v>
      </c>
      <c r="N2817" s="2" t="s">
        <v>500</v>
      </c>
      <c r="O2817" s="2"/>
    </row>
    <row r="2818" spans="1:15" x14ac:dyDescent="0.25">
      <c r="A2818" s="2" t="s">
        <v>15</v>
      </c>
      <c r="B2818" s="2" t="str">
        <f>"FES1162771020"</f>
        <v>FES1162771020</v>
      </c>
      <c r="C2818" s="2" t="s">
        <v>1762</v>
      </c>
      <c r="D2818" s="2">
        <v>1</v>
      </c>
      <c r="E2818" s="2" t="str">
        <f>"2170758145"</f>
        <v>2170758145</v>
      </c>
      <c r="F2818" s="2" t="s">
        <v>17</v>
      </c>
      <c r="G2818" s="2" t="s">
        <v>18</v>
      </c>
      <c r="H2818" s="2" t="s">
        <v>18</v>
      </c>
      <c r="I2818" s="2" t="s">
        <v>57</v>
      </c>
      <c r="J2818" s="2" t="s">
        <v>876</v>
      </c>
      <c r="K2818" s="2" t="s">
        <v>1897</v>
      </c>
      <c r="L2818" s="3">
        <v>0.29236111111111113</v>
      </c>
      <c r="M2818" s="2" t="s">
        <v>2010</v>
      </c>
      <c r="N2818" s="2" t="s">
        <v>500</v>
      </c>
      <c r="O2818" s="2"/>
    </row>
    <row r="2819" spans="1:15" x14ac:dyDescent="0.25">
      <c r="A2819" s="2" t="s">
        <v>15</v>
      </c>
      <c r="B2819" s="2" t="str">
        <f>"FES1162771154"</f>
        <v>FES1162771154</v>
      </c>
      <c r="C2819" s="2" t="s">
        <v>1762</v>
      </c>
      <c r="D2819" s="2">
        <v>1</v>
      </c>
      <c r="E2819" s="2" t="str">
        <f>"2170758232"</f>
        <v>2170758232</v>
      </c>
      <c r="F2819" s="2" t="s">
        <v>17</v>
      </c>
      <c r="G2819" s="2" t="s">
        <v>18</v>
      </c>
      <c r="H2819" s="2" t="s">
        <v>30</v>
      </c>
      <c r="I2819" s="2" t="s">
        <v>444</v>
      </c>
      <c r="J2819" s="2" t="s">
        <v>488</v>
      </c>
      <c r="K2819" s="2" t="s">
        <v>1897</v>
      </c>
      <c r="L2819" s="3">
        <v>0.45833333333333331</v>
      </c>
      <c r="M2819" s="2" t="s">
        <v>1914</v>
      </c>
      <c r="N2819" s="2" t="s">
        <v>500</v>
      </c>
      <c r="O2819" s="2"/>
    </row>
    <row r="2820" spans="1:15" x14ac:dyDescent="0.25">
      <c r="A2820" s="2" t="s">
        <v>15</v>
      </c>
      <c r="B2820" s="2" t="str">
        <f>"FES1162771184"</f>
        <v>FES1162771184</v>
      </c>
      <c r="C2820" s="2" t="s">
        <v>1762</v>
      </c>
      <c r="D2820" s="2">
        <v>1</v>
      </c>
      <c r="E2820" s="2" t="str">
        <f>"2170756158"</f>
        <v>2170756158</v>
      </c>
      <c r="F2820" s="2" t="s">
        <v>17</v>
      </c>
      <c r="G2820" s="2" t="s">
        <v>18</v>
      </c>
      <c r="H2820" s="2" t="s">
        <v>88</v>
      </c>
      <c r="I2820" s="2" t="s">
        <v>109</v>
      </c>
      <c r="J2820" s="2" t="s">
        <v>452</v>
      </c>
      <c r="K2820" s="2" t="s">
        <v>1897</v>
      </c>
      <c r="L2820" s="3">
        <v>0.42291666666666666</v>
      </c>
      <c r="M2820" s="2" t="s">
        <v>2011</v>
      </c>
      <c r="N2820" s="2" t="s">
        <v>500</v>
      </c>
      <c r="O2820" s="2"/>
    </row>
    <row r="2821" spans="1:15" x14ac:dyDescent="0.25">
      <c r="A2821" s="2" t="s">
        <v>15</v>
      </c>
      <c r="B2821" s="2" t="str">
        <f>"FES1162771084"</f>
        <v>FES1162771084</v>
      </c>
      <c r="C2821" s="2" t="s">
        <v>1762</v>
      </c>
      <c r="D2821" s="2">
        <v>1</v>
      </c>
      <c r="E2821" s="2" t="str">
        <f>"2170755738"</f>
        <v>2170755738</v>
      </c>
      <c r="F2821" s="2" t="s">
        <v>17</v>
      </c>
      <c r="G2821" s="2" t="s">
        <v>18</v>
      </c>
      <c r="H2821" s="2" t="s">
        <v>78</v>
      </c>
      <c r="I2821" s="2" t="s">
        <v>79</v>
      </c>
      <c r="J2821" s="2" t="s">
        <v>113</v>
      </c>
      <c r="K2821" s="2" t="s">
        <v>1897</v>
      </c>
      <c r="L2821" s="3">
        <v>0.42222222222222222</v>
      </c>
      <c r="M2821" s="2" t="s">
        <v>2003</v>
      </c>
      <c r="N2821" s="2" t="s">
        <v>500</v>
      </c>
      <c r="O2821" s="2"/>
    </row>
    <row r="2822" spans="1:15" x14ac:dyDescent="0.25">
      <c r="A2822" s="2" t="s">
        <v>15</v>
      </c>
      <c r="B2822" s="2" t="str">
        <f>"FES1162771125"</f>
        <v>FES1162771125</v>
      </c>
      <c r="C2822" s="2" t="s">
        <v>1762</v>
      </c>
      <c r="D2822" s="2">
        <v>1</v>
      </c>
      <c r="E2822" s="2" t="str">
        <f>"2170756400"</f>
        <v>2170756400</v>
      </c>
      <c r="F2822" s="2" t="s">
        <v>17</v>
      </c>
      <c r="G2822" s="2" t="s">
        <v>18</v>
      </c>
      <c r="H2822" s="2" t="s">
        <v>19</v>
      </c>
      <c r="I2822" s="2" t="s">
        <v>73</v>
      </c>
      <c r="J2822" s="2" t="s">
        <v>76</v>
      </c>
      <c r="K2822" s="2" t="s">
        <v>1897</v>
      </c>
      <c r="L2822" s="3">
        <v>0.58194444444444449</v>
      </c>
      <c r="M2822" s="2" t="s">
        <v>197</v>
      </c>
      <c r="N2822" s="2" t="s">
        <v>500</v>
      </c>
      <c r="O2822" s="2"/>
    </row>
    <row r="2823" spans="1:15" x14ac:dyDescent="0.25">
      <c r="A2823" s="2" t="s">
        <v>15</v>
      </c>
      <c r="B2823" s="2" t="str">
        <f>"FES1162771012"</f>
        <v>FES1162771012</v>
      </c>
      <c r="C2823" s="2" t="s">
        <v>1762</v>
      </c>
      <c r="D2823" s="2">
        <v>1</v>
      </c>
      <c r="E2823" s="2" t="str">
        <f>"2170757956"</f>
        <v>2170757956</v>
      </c>
      <c r="F2823" s="2" t="s">
        <v>17</v>
      </c>
      <c r="G2823" s="2" t="s">
        <v>18</v>
      </c>
      <c r="H2823" s="2" t="s">
        <v>19</v>
      </c>
      <c r="I2823" s="2" t="s">
        <v>20</v>
      </c>
      <c r="J2823" s="2" t="s">
        <v>327</v>
      </c>
      <c r="K2823" s="2" t="s">
        <v>1897</v>
      </c>
      <c r="L2823" s="3">
        <v>0.36041666666666666</v>
      </c>
      <c r="M2823" s="2" t="s">
        <v>2012</v>
      </c>
      <c r="N2823" s="2" t="s">
        <v>500</v>
      </c>
      <c r="O2823" s="2"/>
    </row>
    <row r="2824" spans="1:15" x14ac:dyDescent="0.25">
      <c r="A2824" s="2" t="s">
        <v>15</v>
      </c>
      <c r="B2824" s="2" t="str">
        <f>"FES1162771057"</f>
        <v>FES1162771057</v>
      </c>
      <c r="C2824" s="2" t="s">
        <v>1762</v>
      </c>
      <c r="D2824" s="2">
        <v>1</v>
      </c>
      <c r="E2824" s="2" t="str">
        <f>"2170758222"</f>
        <v>2170758222</v>
      </c>
      <c r="F2824" s="2" t="s">
        <v>17</v>
      </c>
      <c r="G2824" s="2" t="s">
        <v>18</v>
      </c>
      <c r="H2824" s="2" t="s">
        <v>18</v>
      </c>
      <c r="I2824" s="2" t="s">
        <v>65</v>
      </c>
      <c r="J2824" s="2" t="s">
        <v>66</v>
      </c>
      <c r="K2824" s="2" t="s">
        <v>1897</v>
      </c>
      <c r="L2824" s="3">
        <v>0.3215277777777778</v>
      </c>
      <c r="M2824" s="2" t="s">
        <v>189</v>
      </c>
      <c r="N2824" s="2" t="s">
        <v>500</v>
      </c>
      <c r="O2824" s="2"/>
    </row>
    <row r="2825" spans="1:15" x14ac:dyDescent="0.25">
      <c r="A2825" s="2" t="s">
        <v>15</v>
      </c>
      <c r="B2825" s="2" t="str">
        <f>"FES1162771187"</f>
        <v>FES1162771187</v>
      </c>
      <c r="C2825" s="2" t="s">
        <v>1762</v>
      </c>
      <c r="D2825" s="2">
        <v>1</v>
      </c>
      <c r="E2825" s="2" t="str">
        <f>"2170756219"</f>
        <v>2170756219</v>
      </c>
      <c r="F2825" s="2" t="s">
        <v>17</v>
      </c>
      <c r="G2825" s="2" t="s">
        <v>18</v>
      </c>
      <c r="H2825" s="2" t="s">
        <v>18</v>
      </c>
      <c r="I2825" s="2" t="s">
        <v>116</v>
      </c>
      <c r="J2825" s="2" t="s">
        <v>786</v>
      </c>
      <c r="K2825" s="2" t="s">
        <v>1897</v>
      </c>
      <c r="L2825" s="3">
        <v>0.41666666666666669</v>
      </c>
      <c r="M2825" s="2" t="s">
        <v>1701</v>
      </c>
      <c r="N2825" s="2" t="s">
        <v>500</v>
      </c>
      <c r="O2825" s="2"/>
    </row>
    <row r="2826" spans="1:15" x14ac:dyDescent="0.25">
      <c r="A2826" s="2" t="s">
        <v>15</v>
      </c>
      <c r="B2826" s="2" t="str">
        <f>"FES1162771083"</f>
        <v>FES1162771083</v>
      </c>
      <c r="C2826" s="2" t="s">
        <v>1762</v>
      </c>
      <c r="D2826" s="2">
        <v>1</v>
      </c>
      <c r="E2826" s="2" t="str">
        <f>"2170755631"</f>
        <v>2170755631</v>
      </c>
      <c r="F2826" s="2" t="s">
        <v>17</v>
      </c>
      <c r="G2826" s="2" t="s">
        <v>18</v>
      </c>
      <c r="H2826" s="2" t="s">
        <v>36</v>
      </c>
      <c r="I2826" s="2" t="s">
        <v>37</v>
      </c>
      <c r="J2826" s="2" t="s">
        <v>378</v>
      </c>
      <c r="K2826" s="2" t="s">
        <v>1897</v>
      </c>
      <c r="L2826" s="3">
        <v>0.4236111111111111</v>
      </c>
      <c r="M2826" s="2" t="s">
        <v>379</v>
      </c>
      <c r="N2826" s="2" t="s">
        <v>500</v>
      </c>
      <c r="O2826" s="2"/>
    </row>
    <row r="2827" spans="1:15" x14ac:dyDescent="0.25">
      <c r="A2827" s="2" t="s">
        <v>15</v>
      </c>
      <c r="B2827" s="2" t="str">
        <f>"FES1162771109"</f>
        <v>FES1162771109</v>
      </c>
      <c r="C2827" s="2" t="s">
        <v>1762</v>
      </c>
      <c r="D2827" s="2">
        <v>1</v>
      </c>
      <c r="E2827" s="2" t="str">
        <f>"2170756302"</f>
        <v>2170756302</v>
      </c>
      <c r="F2827" s="2" t="s">
        <v>17</v>
      </c>
      <c r="G2827" s="2" t="s">
        <v>18</v>
      </c>
      <c r="H2827" s="2" t="s">
        <v>25</v>
      </c>
      <c r="I2827" s="2" t="s">
        <v>26</v>
      </c>
      <c r="J2827" s="2" t="s">
        <v>1944</v>
      </c>
      <c r="K2827" s="2" t="s">
        <v>1897</v>
      </c>
      <c r="L2827" s="3">
        <v>0.39861111111111108</v>
      </c>
      <c r="M2827" s="2" t="s">
        <v>1095</v>
      </c>
      <c r="N2827" s="2" t="s">
        <v>500</v>
      </c>
      <c r="O2827" s="2"/>
    </row>
    <row r="2828" spans="1:15" x14ac:dyDescent="0.25">
      <c r="A2828" s="5" t="s">
        <v>15</v>
      </c>
      <c r="B2828" s="5" t="str">
        <f>"FES1162771005"</f>
        <v>FES1162771005</v>
      </c>
      <c r="C2828" s="5" t="s">
        <v>1762</v>
      </c>
      <c r="D2828" s="5">
        <v>1</v>
      </c>
      <c r="E2828" s="5" t="str">
        <f>"2170757308"</f>
        <v>2170757308</v>
      </c>
      <c r="F2828" s="5" t="s">
        <v>17</v>
      </c>
      <c r="G2828" s="5" t="s">
        <v>18</v>
      </c>
      <c r="H2828" s="5" t="s">
        <v>19</v>
      </c>
      <c r="I2828" s="5" t="s">
        <v>20</v>
      </c>
      <c r="J2828" s="5" t="s">
        <v>281</v>
      </c>
      <c r="K2828" s="5" t="s">
        <v>2197</v>
      </c>
      <c r="L2828" s="9">
        <v>0.65555555555555556</v>
      </c>
      <c r="M2828" s="5" t="s">
        <v>2313</v>
      </c>
      <c r="N2828" s="5" t="s">
        <v>500</v>
      </c>
      <c r="O2828" s="5"/>
    </row>
    <row r="2829" spans="1:15" x14ac:dyDescent="0.25">
      <c r="A2829" s="2" t="s">
        <v>15</v>
      </c>
      <c r="B2829" s="2" t="str">
        <f>"FES1162771214"</f>
        <v>FES1162771214</v>
      </c>
      <c r="C2829" s="2" t="s">
        <v>1762</v>
      </c>
      <c r="D2829" s="2">
        <v>1</v>
      </c>
      <c r="E2829" s="2" t="str">
        <f>"2170758270"</f>
        <v>2170758270</v>
      </c>
      <c r="F2829" s="2" t="s">
        <v>17</v>
      </c>
      <c r="G2829" s="2" t="s">
        <v>18</v>
      </c>
      <c r="H2829" s="2" t="s">
        <v>25</v>
      </c>
      <c r="I2829" s="2" t="s">
        <v>26</v>
      </c>
      <c r="J2829" s="2" t="s">
        <v>1020</v>
      </c>
      <c r="K2829" s="2" t="s">
        <v>1897</v>
      </c>
      <c r="L2829" s="3">
        <v>0.40138888888888885</v>
      </c>
      <c r="M2829" s="2" t="s">
        <v>1334</v>
      </c>
      <c r="N2829" s="2" t="s">
        <v>500</v>
      </c>
      <c r="O2829" s="2"/>
    </row>
    <row r="2830" spans="1:15" x14ac:dyDescent="0.25">
      <c r="A2830" s="2" t="s">
        <v>15</v>
      </c>
      <c r="B2830" s="2" t="str">
        <f>"FES1162771138"</f>
        <v>FES1162771138</v>
      </c>
      <c r="C2830" s="2" t="s">
        <v>1762</v>
      </c>
      <c r="D2830" s="2">
        <v>1</v>
      </c>
      <c r="E2830" s="2" t="str">
        <f>"2170756731"</f>
        <v>2170756731</v>
      </c>
      <c r="F2830" s="2" t="s">
        <v>17</v>
      </c>
      <c r="G2830" s="2" t="s">
        <v>18</v>
      </c>
      <c r="H2830" s="2" t="s">
        <v>25</v>
      </c>
      <c r="I2830" s="2" t="s">
        <v>345</v>
      </c>
      <c r="J2830" s="2" t="s">
        <v>412</v>
      </c>
      <c r="K2830" s="2" t="s">
        <v>1969</v>
      </c>
      <c r="L2830" s="3">
        <v>0.30624999999999997</v>
      </c>
      <c r="M2830" s="2" t="s">
        <v>1052</v>
      </c>
      <c r="N2830" s="2" t="s">
        <v>500</v>
      </c>
      <c r="O2830" s="2"/>
    </row>
    <row r="2831" spans="1:15" x14ac:dyDescent="0.25">
      <c r="A2831" s="2" t="s">
        <v>15</v>
      </c>
      <c r="B2831" s="2" t="str">
        <f>"FES1162771128"</f>
        <v>FES1162771128</v>
      </c>
      <c r="C2831" s="2" t="s">
        <v>1762</v>
      </c>
      <c r="D2831" s="2">
        <v>1</v>
      </c>
      <c r="E2831" s="2" t="str">
        <f>"2170756542"</f>
        <v>2170756542</v>
      </c>
      <c r="F2831" s="2" t="s">
        <v>17</v>
      </c>
      <c r="G2831" s="2" t="s">
        <v>18</v>
      </c>
      <c r="H2831" s="2" t="s">
        <v>25</v>
      </c>
      <c r="I2831" s="2" t="s">
        <v>39</v>
      </c>
      <c r="J2831" s="2" t="s">
        <v>40</v>
      </c>
      <c r="K2831" s="2" t="s">
        <v>1897</v>
      </c>
      <c r="L2831" s="3">
        <v>0.41666666666666669</v>
      </c>
      <c r="M2831" s="2" t="s">
        <v>991</v>
      </c>
      <c r="N2831" s="2" t="s">
        <v>500</v>
      </c>
      <c r="O2831" s="2"/>
    </row>
    <row r="2832" spans="1:15" x14ac:dyDescent="0.25">
      <c r="A2832" s="2" t="s">
        <v>15</v>
      </c>
      <c r="B2832" s="2" t="str">
        <f>"009940283624"</f>
        <v>009940283624</v>
      </c>
      <c r="C2832" s="2" t="s">
        <v>1762</v>
      </c>
      <c r="D2832" s="2">
        <v>1</v>
      </c>
      <c r="E2832" s="2" t="str">
        <f>"1162767691"</f>
        <v>1162767691</v>
      </c>
      <c r="F2832" s="2" t="s">
        <v>17</v>
      </c>
      <c r="G2832" s="2" t="s">
        <v>18</v>
      </c>
      <c r="H2832" s="2" t="s">
        <v>18</v>
      </c>
      <c r="I2832" s="2" t="s">
        <v>46</v>
      </c>
      <c r="J2832" s="2" t="s">
        <v>59</v>
      </c>
      <c r="K2832" s="2" t="s">
        <v>1897</v>
      </c>
      <c r="L2832" s="3">
        <v>0.3125</v>
      </c>
      <c r="M2832" s="2" t="s">
        <v>1984</v>
      </c>
      <c r="N2832" s="2" t="s">
        <v>500</v>
      </c>
      <c r="O2832" s="2"/>
    </row>
    <row r="2833" spans="1:15" x14ac:dyDescent="0.25">
      <c r="A2833" s="2" t="s">
        <v>15</v>
      </c>
      <c r="B2833" s="2" t="str">
        <f>"FES1162771118"</f>
        <v>FES1162771118</v>
      </c>
      <c r="C2833" s="2" t="s">
        <v>1762</v>
      </c>
      <c r="D2833" s="2">
        <v>1</v>
      </c>
      <c r="E2833" s="2" t="str">
        <f>"2170756368"</f>
        <v>2170756368</v>
      </c>
      <c r="F2833" s="2" t="s">
        <v>17</v>
      </c>
      <c r="G2833" s="2" t="s">
        <v>18</v>
      </c>
      <c r="H2833" s="2" t="s">
        <v>25</v>
      </c>
      <c r="I2833" s="2" t="s">
        <v>26</v>
      </c>
      <c r="J2833" s="2" t="s">
        <v>27</v>
      </c>
      <c r="K2833" s="2" t="s">
        <v>1897</v>
      </c>
      <c r="L2833" s="3">
        <v>0.32708333333333334</v>
      </c>
      <c r="M2833" s="2" t="s">
        <v>521</v>
      </c>
      <c r="N2833" s="2" t="s">
        <v>500</v>
      </c>
      <c r="O2833" s="2"/>
    </row>
    <row r="2834" spans="1:15" x14ac:dyDescent="0.25">
      <c r="A2834" s="2" t="s">
        <v>15</v>
      </c>
      <c r="B2834" s="2" t="str">
        <f>"FES1162771190"</f>
        <v>FES1162771190</v>
      </c>
      <c r="C2834" s="2" t="s">
        <v>1762</v>
      </c>
      <c r="D2834" s="2">
        <v>1</v>
      </c>
      <c r="E2834" s="2" t="str">
        <f>"2170758237"</f>
        <v>2170758237</v>
      </c>
      <c r="F2834" s="2" t="s">
        <v>17</v>
      </c>
      <c r="G2834" s="2" t="s">
        <v>18</v>
      </c>
      <c r="H2834" s="2" t="s">
        <v>19</v>
      </c>
      <c r="I2834" s="2" t="s">
        <v>269</v>
      </c>
      <c r="J2834" s="2" t="s">
        <v>655</v>
      </c>
      <c r="K2834" s="2" t="s">
        <v>1897</v>
      </c>
      <c r="L2834" s="3">
        <v>0.36944444444444446</v>
      </c>
      <c r="M2834" s="2" t="s">
        <v>2002</v>
      </c>
      <c r="N2834" s="2" t="s">
        <v>500</v>
      </c>
      <c r="O2834" s="2"/>
    </row>
    <row r="2835" spans="1:15" x14ac:dyDescent="0.25">
      <c r="A2835" s="2" t="s">
        <v>15</v>
      </c>
      <c r="B2835" s="2" t="str">
        <f>"FES1162771039"</f>
        <v>FES1162771039</v>
      </c>
      <c r="C2835" s="2" t="s">
        <v>1762</v>
      </c>
      <c r="D2835" s="2">
        <v>1</v>
      </c>
      <c r="E2835" s="2" t="str">
        <f>"2170758200"</f>
        <v>2170758200</v>
      </c>
      <c r="F2835" s="2" t="s">
        <v>17</v>
      </c>
      <c r="G2835" s="2" t="s">
        <v>18</v>
      </c>
      <c r="H2835" s="2" t="s">
        <v>19</v>
      </c>
      <c r="I2835" s="2" t="s">
        <v>111</v>
      </c>
      <c r="J2835" s="2" t="s">
        <v>1936</v>
      </c>
      <c r="K2835" s="2" t="s">
        <v>1897</v>
      </c>
      <c r="L2835" s="3">
        <v>0.33888888888888885</v>
      </c>
      <c r="M2835" s="2" t="s">
        <v>1937</v>
      </c>
      <c r="N2835" s="2" t="s">
        <v>500</v>
      </c>
      <c r="O2835" s="2"/>
    </row>
    <row r="2836" spans="1:15" x14ac:dyDescent="0.25">
      <c r="A2836" s="2" t="s">
        <v>15</v>
      </c>
      <c r="B2836" s="2" t="str">
        <f>"FES1162771008"</f>
        <v>FES1162771008</v>
      </c>
      <c r="C2836" s="2" t="s">
        <v>1762</v>
      </c>
      <c r="D2836" s="2">
        <v>1</v>
      </c>
      <c r="E2836" s="2" t="str">
        <f>"2170757704"</f>
        <v>2170757704</v>
      </c>
      <c r="F2836" s="2" t="s">
        <v>17</v>
      </c>
      <c r="G2836" s="2" t="s">
        <v>18</v>
      </c>
      <c r="H2836" s="2" t="s">
        <v>78</v>
      </c>
      <c r="I2836" s="2" t="s">
        <v>79</v>
      </c>
      <c r="J2836" s="2" t="s">
        <v>630</v>
      </c>
      <c r="K2836" s="2" t="s">
        <v>1897</v>
      </c>
      <c r="L2836" s="3">
        <v>0.53472222222222221</v>
      </c>
      <c r="M2836" s="2" t="s">
        <v>748</v>
      </c>
      <c r="N2836" s="2" t="s">
        <v>500</v>
      </c>
      <c r="O2836" s="2"/>
    </row>
    <row r="2837" spans="1:15" x14ac:dyDescent="0.25">
      <c r="A2837" s="2" t="s">
        <v>15</v>
      </c>
      <c r="B2837" s="2" t="str">
        <f>"FES1162771098"</f>
        <v>FES1162771098</v>
      </c>
      <c r="C2837" s="2" t="s">
        <v>1762</v>
      </c>
      <c r="D2837" s="2">
        <v>1</v>
      </c>
      <c r="E2837" s="2" t="str">
        <f>"2170756168"</f>
        <v>2170756168</v>
      </c>
      <c r="F2837" s="2" t="s">
        <v>17</v>
      </c>
      <c r="G2837" s="2" t="s">
        <v>18</v>
      </c>
      <c r="H2837" s="2" t="s">
        <v>78</v>
      </c>
      <c r="I2837" s="2" t="s">
        <v>79</v>
      </c>
      <c r="J2837" s="2" t="s">
        <v>630</v>
      </c>
      <c r="K2837" s="2" t="s">
        <v>1897</v>
      </c>
      <c r="L2837" s="3">
        <v>0.55208333333333337</v>
      </c>
      <c r="M2837" s="2" t="s">
        <v>2013</v>
      </c>
      <c r="N2837" s="2" t="s">
        <v>500</v>
      </c>
      <c r="O2837" s="2"/>
    </row>
    <row r="2838" spans="1:15" x14ac:dyDescent="0.25">
      <c r="A2838" s="2" t="s">
        <v>15</v>
      </c>
      <c r="B2838" s="2" t="str">
        <f>"FES1162769505"</f>
        <v>FES1162769505</v>
      </c>
      <c r="C2838" s="2" t="s">
        <v>1762</v>
      </c>
      <c r="D2838" s="2">
        <v>1</v>
      </c>
      <c r="E2838" s="2" t="str">
        <f>"2170755253"</f>
        <v>2170755253</v>
      </c>
      <c r="F2838" s="2" t="s">
        <v>17</v>
      </c>
      <c r="G2838" s="2" t="s">
        <v>18</v>
      </c>
      <c r="H2838" s="2" t="s">
        <v>18</v>
      </c>
      <c r="I2838" s="2" t="s">
        <v>50</v>
      </c>
      <c r="J2838" s="2" t="s">
        <v>1017</v>
      </c>
      <c r="K2838" s="2" t="s">
        <v>1897</v>
      </c>
      <c r="L2838" s="3">
        <v>0.44722222222222219</v>
      </c>
      <c r="M2838" s="2" t="s">
        <v>2014</v>
      </c>
      <c r="N2838" s="2" t="s">
        <v>500</v>
      </c>
      <c r="O2838" s="2"/>
    </row>
    <row r="2839" spans="1:15" x14ac:dyDescent="0.25">
      <c r="A2839" s="2" t="s">
        <v>15</v>
      </c>
      <c r="B2839" s="2" t="str">
        <f>"FES1162769366"</f>
        <v>FES1162769366</v>
      </c>
      <c r="C2839" s="2" t="s">
        <v>1762</v>
      </c>
      <c r="D2839" s="2">
        <v>1</v>
      </c>
      <c r="E2839" s="2" t="str">
        <f>"2170755253"</f>
        <v>2170755253</v>
      </c>
      <c r="F2839" s="2" t="s">
        <v>17</v>
      </c>
      <c r="G2839" s="2" t="s">
        <v>18</v>
      </c>
      <c r="H2839" s="2" t="s">
        <v>18</v>
      </c>
      <c r="I2839" s="2" t="s">
        <v>50</v>
      </c>
      <c r="J2839" s="2" t="s">
        <v>1017</v>
      </c>
      <c r="K2839" s="2" t="s">
        <v>1897</v>
      </c>
      <c r="L2839" s="3">
        <v>0.44722222222222219</v>
      </c>
      <c r="M2839" s="2" t="s">
        <v>2014</v>
      </c>
      <c r="N2839" s="2" t="s">
        <v>500</v>
      </c>
      <c r="O2839" s="2"/>
    </row>
    <row r="2840" spans="1:15" x14ac:dyDescent="0.25">
      <c r="A2840" s="2" t="s">
        <v>15</v>
      </c>
      <c r="B2840" s="2" t="str">
        <f>"FES1162764711"</f>
        <v>FES1162764711</v>
      </c>
      <c r="C2840" s="2" t="s">
        <v>1762</v>
      </c>
      <c r="D2840" s="2">
        <v>1</v>
      </c>
      <c r="E2840" s="2" t="str">
        <f>"2170752803"</f>
        <v>2170752803</v>
      </c>
      <c r="F2840" s="2" t="s">
        <v>17</v>
      </c>
      <c r="G2840" s="2" t="s">
        <v>18</v>
      </c>
      <c r="H2840" s="2" t="s">
        <v>18</v>
      </c>
      <c r="I2840" s="2" t="s">
        <v>63</v>
      </c>
      <c r="J2840" s="2" t="s">
        <v>1945</v>
      </c>
      <c r="K2840" s="2" t="s">
        <v>1897</v>
      </c>
      <c r="L2840" s="3">
        <v>0.4548611111111111</v>
      </c>
      <c r="M2840" s="2" t="s">
        <v>2015</v>
      </c>
      <c r="N2840" s="2" t="s">
        <v>500</v>
      </c>
      <c r="O2840" s="2"/>
    </row>
    <row r="2841" spans="1:15" x14ac:dyDescent="0.25">
      <c r="A2841" s="2" t="s">
        <v>15</v>
      </c>
      <c r="B2841" s="2" t="str">
        <f>"FES1162766945"</f>
        <v>FES1162766945</v>
      </c>
      <c r="C2841" s="2" t="s">
        <v>1762</v>
      </c>
      <c r="D2841" s="2">
        <v>1</v>
      </c>
      <c r="E2841" s="2" t="str">
        <f>"2170753583"</f>
        <v>2170753583</v>
      </c>
      <c r="F2841" s="2" t="s">
        <v>17</v>
      </c>
      <c r="G2841" s="2" t="s">
        <v>18</v>
      </c>
      <c r="H2841" s="2" t="s">
        <v>18</v>
      </c>
      <c r="I2841" s="2" t="s">
        <v>50</v>
      </c>
      <c r="J2841" s="2" t="s">
        <v>1026</v>
      </c>
      <c r="K2841" s="2" t="s">
        <v>1897</v>
      </c>
      <c r="L2841" s="3">
        <v>0.4375</v>
      </c>
      <c r="M2841" s="2" t="s">
        <v>2016</v>
      </c>
      <c r="N2841" s="2" t="s">
        <v>500</v>
      </c>
      <c r="O2841" s="2"/>
    </row>
    <row r="2842" spans="1:15" x14ac:dyDescent="0.25">
      <c r="A2842" s="2" t="s">
        <v>15</v>
      </c>
      <c r="B2842" s="2" t="str">
        <f>"FES1162770144"</f>
        <v>FES1162770144</v>
      </c>
      <c r="C2842" s="2" t="s">
        <v>1762</v>
      </c>
      <c r="D2842" s="2">
        <v>1</v>
      </c>
      <c r="E2842" s="2" t="str">
        <f>"2170757377"</f>
        <v>2170757377</v>
      </c>
      <c r="F2842" s="2" t="s">
        <v>17</v>
      </c>
      <c r="G2842" s="2" t="s">
        <v>18</v>
      </c>
      <c r="H2842" s="2" t="s">
        <v>18</v>
      </c>
      <c r="I2842" s="2" t="s">
        <v>52</v>
      </c>
      <c r="J2842" s="2" t="s">
        <v>1946</v>
      </c>
      <c r="K2842" s="2" t="s">
        <v>1897</v>
      </c>
      <c r="L2842" s="3">
        <v>0.38680555555555557</v>
      </c>
      <c r="M2842" s="2" t="s">
        <v>2017</v>
      </c>
      <c r="N2842" s="2" t="s">
        <v>500</v>
      </c>
      <c r="O2842" s="2"/>
    </row>
    <row r="2843" spans="1:15" x14ac:dyDescent="0.25">
      <c r="A2843" s="2" t="s">
        <v>15</v>
      </c>
      <c r="B2843" s="2" t="str">
        <f>"FES1162768791"</f>
        <v>FES1162768791</v>
      </c>
      <c r="C2843" s="2" t="s">
        <v>1762</v>
      </c>
      <c r="D2843" s="2">
        <v>1</v>
      </c>
      <c r="E2843" s="2" t="str">
        <f>"2170754342"</f>
        <v>2170754342</v>
      </c>
      <c r="F2843" s="2" t="s">
        <v>17</v>
      </c>
      <c r="G2843" s="2" t="s">
        <v>18</v>
      </c>
      <c r="H2843" s="2" t="s">
        <v>18</v>
      </c>
      <c r="I2843" s="2" t="s">
        <v>290</v>
      </c>
      <c r="J2843" s="2" t="s">
        <v>492</v>
      </c>
      <c r="K2843" s="2" t="s">
        <v>1897</v>
      </c>
      <c r="L2843" s="3">
        <v>0.4375</v>
      </c>
      <c r="M2843" s="2" t="s">
        <v>1157</v>
      </c>
      <c r="N2843" s="2" t="s">
        <v>500</v>
      </c>
      <c r="O2843" s="2"/>
    </row>
    <row r="2844" spans="1:15" x14ac:dyDescent="0.25">
      <c r="A2844" s="2" t="s">
        <v>15</v>
      </c>
      <c r="B2844" s="2" t="str">
        <f>"FES21162771167"</f>
        <v>FES21162771167</v>
      </c>
      <c r="C2844" s="2" t="s">
        <v>1762</v>
      </c>
      <c r="D2844" s="2">
        <v>1</v>
      </c>
      <c r="E2844" s="2" t="str">
        <f>"2170755480"</f>
        <v>2170755480</v>
      </c>
      <c r="F2844" s="2" t="s">
        <v>17</v>
      </c>
      <c r="G2844" s="2" t="s">
        <v>18</v>
      </c>
      <c r="H2844" s="2" t="s">
        <v>25</v>
      </c>
      <c r="I2844" s="2" t="s">
        <v>39</v>
      </c>
      <c r="J2844" s="2" t="s">
        <v>40</v>
      </c>
      <c r="K2844" s="2" t="s">
        <v>1897</v>
      </c>
      <c r="L2844" s="3">
        <v>0.41666666666666669</v>
      </c>
      <c r="M2844" s="2" t="s">
        <v>991</v>
      </c>
      <c r="N2844" s="2" t="s">
        <v>500</v>
      </c>
      <c r="O2844" s="2"/>
    </row>
    <row r="2845" spans="1:15" x14ac:dyDescent="0.25">
      <c r="A2845" s="2" t="s">
        <v>15</v>
      </c>
      <c r="B2845" s="2" t="str">
        <f>"FES1162771270"</f>
        <v>FES1162771270</v>
      </c>
      <c r="C2845" s="2" t="s">
        <v>1762</v>
      </c>
      <c r="D2845" s="2">
        <v>1</v>
      </c>
      <c r="E2845" s="2" t="str">
        <f>"2170758339"</f>
        <v>2170758339</v>
      </c>
      <c r="F2845" s="2" t="s">
        <v>17</v>
      </c>
      <c r="G2845" s="2" t="s">
        <v>18</v>
      </c>
      <c r="H2845" s="2" t="s">
        <v>78</v>
      </c>
      <c r="I2845" s="2" t="s">
        <v>79</v>
      </c>
      <c r="J2845" s="2" t="s">
        <v>1947</v>
      </c>
      <c r="K2845" s="2" t="s">
        <v>1969</v>
      </c>
      <c r="L2845" s="3">
        <v>0.40277777777777773</v>
      </c>
      <c r="M2845" s="2" t="s">
        <v>2076</v>
      </c>
      <c r="N2845" s="2" t="s">
        <v>500</v>
      </c>
      <c r="O2845" s="2"/>
    </row>
    <row r="2846" spans="1:15" x14ac:dyDescent="0.25">
      <c r="A2846" s="2" t="s">
        <v>15</v>
      </c>
      <c r="B2846" s="2" t="str">
        <f>"FES1162771031"</f>
        <v>FES1162771031</v>
      </c>
      <c r="C2846" s="2" t="s">
        <v>1762</v>
      </c>
      <c r="D2846" s="2">
        <v>1</v>
      </c>
      <c r="E2846" s="2" t="str">
        <f>"2170758180"</f>
        <v>2170758180</v>
      </c>
      <c r="F2846" s="2" t="s">
        <v>17</v>
      </c>
      <c r="G2846" s="2" t="s">
        <v>18</v>
      </c>
      <c r="H2846" s="2" t="s">
        <v>18</v>
      </c>
      <c r="I2846" s="2" t="s">
        <v>57</v>
      </c>
      <c r="J2846" s="2" t="s">
        <v>903</v>
      </c>
      <c r="K2846" s="2" t="s">
        <v>1897</v>
      </c>
      <c r="L2846" s="3">
        <v>0.4375</v>
      </c>
      <c r="M2846" s="2" t="s">
        <v>559</v>
      </c>
      <c r="N2846" s="2" t="s">
        <v>500</v>
      </c>
      <c r="O2846" s="2"/>
    </row>
    <row r="2847" spans="1:15" x14ac:dyDescent="0.25">
      <c r="A2847" s="2" t="s">
        <v>15</v>
      </c>
      <c r="B2847" s="2" t="str">
        <f>"FES1162764714"</f>
        <v>FES1162764714</v>
      </c>
      <c r="C2847" s="2" t="s">
        <v>1762</v>
      </c>
      <c r="D2847" s="2">
        <v>1</v>
      </c>
      <c r="E2847" s="2" t="str">
        <f>"2170753397"</f>
        <v>2170753397</v>
      </c>
      <c r="F2847" s="2" t="s">
        <v>17</v>
      </c>
      <c r="G2847" s="2" t="s">
        <v>18</v>
      </c>
      <c r="H2847" s="2" t="s">
        <v>1034</v>
      </c>
      <c r="I2847" s="2" t="s">
        <v>1238</v>
      </c>
      <c r="J2847" s="2" t="s">
        <v>1239</v>
      </c>
      <c r="K2847" s="2" t="s">
        <v>1897</v>
      </c>
      <c r="L2847" s="3">
        <v>0.47222222222222227</v>
      </c>
      <c r="M2847" s="2" t="s">
        <v>1284</v>
      </c>
      <c r="N2847" s="2" t="s">
        <v>500</v>
      </c>
      <c r="O2847" s="2"/>
    </row>
    <row r="2848" spans="1:15" x14ac:dyDescent="0.25">
      <c r="A2848" s="2" t="s">
        <v>15</v>
      </c>
      <c r="B2848" s="2" t="str">
        <f>"FES1162771014"</f>
        <v>FES1162771014</v>
      </c>
      <c r="C2848" s="2" t="s">
        <v>1762</v>
      </c>
      <c r="D2848" s="2">
        <v>1</v>
      </c>
      <c r="E2848" s="2" t="str">
        <f>"2170758086"</f>
        <v>2170758086</v>
      </c>
      <c r="F2848" s="2" t="s">
        <v>17</v>
      </c>
      <c r="G2848" s="2" t="s">
        <v>18</v>
      </c>
      <c r="H2848" s="2" t="s">
        <v>88</v>
      </c>
      <c r="I2848" s="2" t="s">
        <v>109</v>
      </c>
      <c r="J2848" s="2" t="s">
        <v>110</v>
      </c>
      <c r="K2848" s="2" t="s">
        <v>1897</v>
      </c>
      <c r="L2848" s="3">
        <v>0.35069444444444442</v>
      </c>
      <c r="M2848" s="2" t="s">
        <v>224</v>
      </c>
      <c r="N2848" s="2" t="s">
        <v>500</v>
      </c>
      <c r="O2848" s="2"/>
    </row>
    <row r="2849" spans="1:15" x14ac:dyDescent="0.25">
      <c r="A2849" s="2" t="s">
        <v>15</v>
      </c>
      <c r="B2849" s="2" t="str">
        <f>"FES1162771220"</f>
        <v>FES1162771220</v>
      </c>
      <c r="C2849" s="2" t="s">
        <v>1762</v>
      </c>
      <c r="D2849" s="2">
        <v>1</v>
      </c>
      <c r="E2849" s="2" t="str">
        <f>"2170756071"</f>
        <v>2170756071</v>
      </c>
      <c r="F2849" s="2" t="s">
        <v>17</v>
      </c>
      <c r="G2849" s="2" t="s">
        <v>18</v>
      </c>
      <c r="H2849" s="2" t="s">
        <v>18</v>
      </c>
      <c r="I2849" s="2" t="s">
        <v>290</v>
      </c>
      <c r="J2849" s="2" t="s">
        <v>1948</v>
      </c>
      <c r="K2849" s="2" t="s">
        <v>1897</v>
      </c>
      <c r="L2849" s="3">
        <v>0.4375</v>
      </c>
      <c r="M2849" s="2" t="s">
        <v>2018</v>
      </c>
      <c r="N2849" s="2" t="s">
        <v>500</v>
      </c>
      <c r="O2849" s="2"/>
    </row>
    <row r="2850" spans="1:15" x14ac:dyDescent="0.25">
      <c r="A2850" s="2" t="s">
        <v>15</v>
      </c>
      <c r="B2850" s="2" t="str">
        <f>"FES1162771049"</f>
        <v>FES1162771049</v>
      </c>
      <c r="C2850" s="2" t="s">
        <v>1762</v>
      </c>
      <c r="D2850" s="2">
        <v>1</v>
      </c>
      <c r="E2850" s="2" t="str">
        <f>"2170758211"</f>
        <v>2170758211</v>
      </c>
      <c r="F2850" s="2" t="s">
        <v>17</v>
      </c>
      <c r="G2850" s="2" t="s">
        <v>18</v>
      </c>
      <c r="H2850" s="2" t="s">
        <v>18</v>
      </c>
      <c r="I2850" s="2" t="s">
        <v>46</v>
      </c>
      <c r="J2850" s="2" t="s">
        <v>59</v>
      </c>
      <c r="K2850" s="2" t="s">
        <v>1897</v>
      </c>
      <c r="L2850" s="3">
        <v>0.3125</v>
      </c>
      <c r="M2850" s="2" t="s">
        <v>1984</v>
      </c>
      <c r="N2850" s="2" t="s">
        <v>500</v>
      </c>
      <c r="O2850" s="2"/>
    </row>
    <row r="2851" spans="1:15" x14ac:dyDescent="0.25">
      <c r="A2851" s="2" t="s">
        <v>15</v>
      </c>
      <c r="B2851" s="2" t="str">
        <f>"FES1162771222"</f>
        <v>FES1162771222</v>
      </c>
      <c r="C2851" s="2" t="s">
        <v>1762</v>
      </c>
      <c r="D2851" s="2">
        <v>1</v>
      </c>
      <c r="E2851" s="2" t="str">
        <f>"2170758243"</f>
        <v>2170758243</v>
      </c>
      <c r="F2851" s="2" t="s">
        <v>17</v>
      </c>
      <c r="G2851" s="2" t="s">
        <v>18</v>
      </c>
      <c r="H2851" s="2" t="s">
        <v>18</v>
      </c>
      <c r="I2851" s="2" t="s">
        <v>46</v>
      </c>
      <c r="J2851" s="2" t="s">
        <v>285</v>
      </c>
      <c r="K2851" s="2" t="s">
        <v>1897</v>
      </c>
      <c r="L2851" s="3">
        <v>0.29166666666666669</v>
      </c>
      <c r="M2851" s="2" t="s">
        <v>777</v>
      </c>
      <c r="N2851" s="2" t="s">
        <v>500</v>
      </c>
      <c r="O2851" s="2"/>
    </row>
    <row r="2852" spans="1:15" x14ac:dyDescent="0.25">
      <c r="A2852" s="2" t="s">
        <v>15</v>
      </c>
      <c r="B2852" s="2" t="str">
        <f>"FES1162771228"</f>
        <v>FES1162771228</v>
      </c>
      <c r="C2852" s="2" t="s">
        <v>1762</v>
      </c>
      <c r="D2852" s="2">
        <v>1</v>
      </c>
      <c r="E2852" s="2" t="str">
        <f>"2170758280"</f>
        <v>2170758280</v>
      </c>
      <c r="F2852" s="2" t="s">
        <v>17</v>
      </c>
      <c r="G2852" s="2" t="s">
        <v>18</v>
      </c>
      <c r="H2852" s="2" t="s">
        <v>25</v>
      </c>
      <c r="I2852" s="2" t="s">
        <v>125</v>
      </c>
      <c r="J2852" s="2" t="s">
        <v>126</v>
      </c>
      <c r="K2852" s="2" t="s">
        <v>1897</v>
      </c>
      <c r="L2852" s="3">
        <v>0.48402777777777778</v>
      </c>
      <c r="M2852" s="2" t="s">
        <v>1189</v>
      </c>
      <c r="N2852" s="2" t="s">
        <v>500</v>
      </c>
      <c r="O2852" s="2"/>
    </row>
    <row r="2853" spans="1:15" x14ac:dyDescent="0.25">
      <c r="A2853" s="2" t="s">
        <v>15</v>
      </c>
      <c r="B2853" s="2" t="str">
        <f>"FES1162771111"</f>
        <v>FES1162771111</v>
      </c>
      <c r="C2853" s="2" t="s">
        <v>1762</v>
      </c>
      <c r="D2853" s="2">
        <v>1</v>
      </c>
      <c r="E2853" s="2" t="str">
        <f>"2170756319"</f>
        <v>2170756319</v>
      </c>
      <c r="F2853" s="2" t="s">
        <v>17</v>
      </c>
      <c r="G2853" s="2" t="s">
        <v>18</v>
      </c>
      <c r="H2853" s="2" t="s">
        <v>18</v>
      </c>
      <c r="I2853" s="2" t="s">
        <v>63</v>
      </c>
      <c r="J2853" s="2" t="s">
        <v>609</v>
      </c>
      <c r="K2853" s="2" t="s">
        <v>1897</v>
      </c>
      <c r="L2853" s="3">
        <v>0.39652777777777781</v>
      </c>
      <c r="M2853" s="2" t="s">
        <v>679</v>
      </c>
      <c r="N2853" s="2" t="s">
        <v>500</v>
      </c>
      <c r="O2853" s="2"/>
    </row>
    <row r="2854" spans="1:15" x14ac:dyDescent="0.25">
      <c r="A2854" s="2" t="s">
        <v>15</v>
      </c>
      <c r="B2854" s="2" t="str">
        <f>"FES1162771266"</f>
        <v>FES1162771266</v>
      </c>
      <c r="C2854" s="2" t="s">
        <v>1762</v>
      </c>
      <c r="D2854" s="2">
        <v>1</v>
      </c>
      <c r="E2854" s="2" t="str">
        <f>"2170758334"</f>
        <v>2170758334</v>
      </c>
      <c r="F2854" s="2" t="s">
        <v>17</v>
      </c>
      <c r="G2854" s="2" t="s">
        <v>18</v>
      </c>
      <c r="H2854" s="2" t="s">
        <v>25</v>
      </c>
      <c r="I2854" s="2" t="s">
        <v>26</v>
      </c>
      <c r="J2854" s="2" t="s">
        <v>1949</v>
      </c>
      <c r="K2854" s="2" t="s">
        <v>1897</v>
      </c>
      <c r="L2854" s="3">
        <v>0.3833333333333333</v>
      </c>
      <c r="M2854" s="2" t="s">
        <v>2019</v>
      </c>
      <c r="N2854" s="2" t="s">
        <v>500</v>
      </c>
      <c r="O2854" s="2"/>
    </row>
    <row r="2855" spans="1:15" x14ac:dyDescent="0.25">
      <c r="A2855" s="2" t="s">
        <v>15</v>
      </c>
      <c r="B2855" s="2" t="str">
        <f>"FES1162771204"</f>
        <v>FES1162771204</v>
      </c>
      <c r="C2855" s="2" t="s">
        <v>1762</v>
      </c>
      <c r="D2855" s="2">
        <v>1</v>
      </c>
      <c r="E2855" s="2" t="str">
        <f>"2170756596"</f>
        <v>2170756596</v>
      </c>
      <c r="F2855" s="2" t="s">
        <v>17</v>
      </c>
      <c r="G2855" s="2" t="s">
        <v>18</v>
      </c>
      <c r="H2855" s="2" t="s">
        <v>18</v>
      </c>
      <c r="I2855" s="2" t="s">
        <v>57</v>
      </c>
      <c r="J2855" s="2" t="s">
        <v>91</v>
      </c>
      <c r="K2855" s="2" t="s">
        <v>1897</v>
      </c>
      <c r="L2855" s="3">
        <v>0.31527777777777777</v>
      </c>
      <c r="M2855" s="2" t="s">
        <v>1395</v>
      </c>
      <c r="N2855" s="2" t="s">
        <v>500</v>
      </c>
      <c r="O2855" s="2"/>
    </row>
    <row r="2856" spans="1:15" x14ac:dyDescent="0.25">
      <c r="A2856" s="2" t="s">
        <v>15</v>
      </c>
      <c r="B2856" s="2" t="str">
        <f>"FES1162771210"</f>
        <v>FES1162771210</v>
      </c>
      <c r="C2856" s="2" t="s">
        <v>1762</v>
      </c>
      <c r="D2856" s="2">
        <v>1</v>
      </c>
      <c r="E2856" s="2" t="str">
        <f>"2170758262"</f>
        <v>2170758262</v>
      </c>
      <c r="F2856" s="2" t="s">
        <v>17</v>
      </c>
      <c r="G2856" s="2" t="s">
        <v>18</v>
      </c>
      <c r="H2856" s="2" t="s">
        <v>25</v>
      </c>
      <c r="I2856" s="2" t="s">
        <v>42</v>
      </c>
      <c r="J2856" s="2" t="s">
        <v>416</v>
      </c>
      <c r="K2856" s="2" t="s">
        <v>1897</v>
      </c>
      <c r="L2856" s="3">
        <v>0.49722222222222223</v>
      </c>
      <c r="M2856" s="2" t="s">
        <v>517</v>
      </c>
      <c r="N2856" s="2" t="s">
        <v>500</v>
      </c>
      <c r="O2856" s="2"/>
    </row>
    <row r="2857" spans="1:15" x14ac:dyDescent="0.25">
      <c r="A2857" s="2" t="s">
        <v>15</v>
      </c>
      <c r="B2857" s="2" t="str">
        <f>"FES1162771127"</f>
        <v>FES1162771127</v>
      </c>
      <c r="C2857" s="2" t="s">
        <v>1762</v>
      </c>
      <c r="D2857" s="2">
        <v>1</v>
      </c>
      <c r="E2857" s="2" t="str">
        <f>"2170756530"</f>
        <v>2170756530</v>
      </c>
      <c r="F2857" s="2" t="s">
        <v>17</v>
      </c>
      <c r="G2857" s="2" t="s">
        <v>18</v>
      </c>
      <c r="H2857" s="2" t="s">
        <v>18</v>
      </c>
      <c r="I2857" s="2" t="s">
        <v>46</v>
      </c>
      <c r="J2857" s="2" t="s">
        <v>1950</v>
      </c>
      <c r="K2857" s="2" t="s">
        <v>1897</v>
      </c>
      <c r="L2857" s="3">
        <v>0.40972222222222227</v>
      </c>
      <c r="M2857" s="2" t="s">
        <v>176</v>
      </c>
      <c r="N2857" s="2" t="s">
        <v>500</v>
      </c>
      <c r="O2857" s="2"/>
    </row>
    <row r="2858" spans="1:15" x14ac:dyDescent="0.25">
      <c r="A2858" s="2" t="s">
        <v>15</v>
      </c>
      <c r="B2858" s="2" t="str">
        <f>"FES1162771022"</f>
        <v>FES1162771022</v>
      </c>
      <c r="C2858" s="2" t="s">
        <v>1762</v>
      </c>
      <c r="D2858" s="2">
        <v>1</v>
      </c>
      <c r="E2858" s="2" t="str">
        <f>"2170758163"</f>
        <v>2170758163</v>
      </c>
      <c r="F2858" s="2" t="s">
        <v>17</v>
      </c>
      <c r="G2858" s="2" t="s">
        <v>18</v>
      </c>
      <c r="H2858" s="2" t="s">
        <v>18</v>
      </c>
      <c r="I2858" s="2" t="s">
        <v>63</v>
      </c>
      <c r="J2858" s="2" t="s">
        <v>93</v>
      </c>
      <c r="K2858" s="2" t="s">
        <v>1897</v>
      </c>
      <c r="L2858" s="3">
        <v>0.38055555555555554</v>
      </c>
      <c r="M2858" s="2" t="s">
        <v>210</v>
      </c>
      <c r="N2858" s="2" t="s">
        <v>500</v>
      </c>
      <c r="O2858" s="2"/>
    </row>
    <row r="2859" spans="1:15" x14ac:dyDescent="0.25">
      <c r="A2859" s="2" t="s">
        <v>15</v>
      </c>
      <c r="B2859" s="2" t="str">
        <f>"FES1162771002"</f>
        <v>FES1162771002</v>
      </c>
      <c r="C2859" s="2" t="s">
        <v>1762</v>
      </c>
      <c r="D2859" s="2">
        <v>1</v>
      </c>
      <c r="E2859" s="2" t="str">
        <f>"2170756374"</f>
        <v>2170756374</v>
      </c>
      <c r="F2859" s="2" t="s">
        <v>17</v>
      </c>
      <c r="G2859" s="2" t="s">
        <v>18</v>
      </c>
      <c r="H2859" s="2" t="s">
        <v>88</v>
      </c>
      <c r="I2859" s="2" t="s">
        <v>109</v>
      </c>
      <c r="J2859" s="2" t="s">
        <v>66</v>
      </c>
      <c r="K2859" s="2" t="s">
        <v>1897</v>
      </c>
      <c r="L2859" s="3">
        <v>0.42986111111111108</v>
      </c>
      <c r="M2859" s="2" t="s">
        <v>969</v>
      </c>
      <c r="N2859" s="2" t="s">
        <v>500</v>
      </c>
      <c r="O2859" s="2"/>
    </row>
    <row r="2860" spans="1:15" x14ac:dyDescent="0.25">
      <c r="A2860" s="2" t="s">
        <v>15</v>
      </c>
      <c r="B2860" s="2" t="str">
        <f>"FES1162771273"</f>
        <v>FES1162771273</v>
      </c>
      <c r="C2860" s="2" t="s">
        <v>1762</v>
      </c>
      <c r="D2860" s="2">
        <v>1</v>
      </c>
      <c r="E2860" s="2" t="str">
        <f>"2170758350"</f>
        <v>2170758350</v>
      </c>
      <c r="F2860" s="2" t="s">
        <v>17</v>
      </c>
      <c r="G2860" s="2" t="s">
        <v>18</v>
      </c>
      <c r="H2860" s="2" t="s">
        <v>25</v>
      </c>
      <c r="I2860" s="2" t="s">
        <v>26</v>
      </c>
      <c r="J2860" s="2" t="s">
        <v>387</v>
      </c>
      <c r="K2860" s="2" t="s">
        <v>1897</v>
      </c>
      <c r="L2860" s="3">
        <v>0.4375</v>
      </c>
      <c r="M2860" s="2" t="s">
        <v>851</v>
      </c>
      <c r="N2860" s="2" t="s">
        <v>500</v>
      </c>
      <c r="O2860" s="2"/>
    </row>
    <row r="2861" spans="1:15" x14ac:dyDescent="0.25">
      <c r="A2861" s="2" t="s">
        <v>15</v>
      </c>
      <c r="B2861" s="2" t="str">
        <f>"FES1162771249"</f>
        <v>FES1162771249</v>
      </c>
      <c r="C2861" s="2" t="s">
        <v>1762</v>
      </c>
      <c r="D2861" s="2">
        <v>1</v>
      </c>
      <c r="E2861" s="2" t="str">
        <f>"2170758314"</f>
        <v>2170758314</v>
      </c>
      <c r="F2861" s="2" t="s">
        <v>17</v>
      </c>
      <c r="G2861" s="2" t="s">
        <v>18</v>
      </c>
      <c r="H2861" s="2" t="s">
        <v>25</v>
      </c>
      <c r="I2861" s="2" t="s">
        <v>26</v>
      </c>
      <c r="J2861" s="2" t="s">
        <v>75</v>
      </c>
      <c r="K2861" s="2" t="s">
        <v>1897</v>
      </c>
      <c r="L2861" s="3">
        <v>0.32500000000000001</v>
      </c>
      <c r="M2861" s="2" t="s">
        <v>1329</v>
      </c>
      <c r="N2861" s="2" t="s">
        <v>500</v>
      </c>
      <c r="O2861" s="2"/>
    </row>
    <row r="2862" spans="1:15" x14ac:dyDescent="0.25">
      <c r="A2862" s="2" t="s">
        <v>15</v>
      </c>
      <c r="B2862" s="2" t="str">
        <f>"FES1162771114"</f>
        <v>FES1162771114</v>
      </c>
      <c r="C2862" s="2" t="s">
        <v>1762</v>
      </c>
      <c r="D2862" s="2">
        <v>3</v>
      </c>
      <c r="E2862" s="2" t="str">
        <f>"2170756329"</f>
        <v>2170756329</v>
      </c>
      <c r="F2862" s="2" t="s">
        <v>17</v>
      </c>
      <c r="G2862" s="2" t="s">
        <v>18</v>
      </c>
      <c r="H2862" s="2" t="s">
        <v>18</v>
      </c>
      <c r="I2862" s="2" t="s">
        <v>116</v>
      </c>
      <c r="J2862" s="2" t="s">
        <v>781</v>
      </c>
      <c r="K2862" s="2" t="s">
        <v>1897</v>
      </c>
      <c r="L2862" s="3">
        <v>0.375</v>
      </c>
      <c r="M2862" s="2" t="s">
        <v>2020</v>
      </c>
      <c r="N2862" s="2" t="s">
        <v>500</v>
      </c>
      <c r="O2862" s="2"/>
    </row>
    <row r="2863" spans="1:15" x14ac:dyDescent="0.25">
      <c r="A2863" s="2" t="s">
        <v>15</v>
      </c>
      <c r="B2863" s="2" t="str">
        <f>"FES1162771230"</f>
        <v>FES1162771230</v>
      </c>
      <c r="C2863" s="2" t="s">
        <v>1762</v>
      </c>
      <c r="D2863" s="2">
        <v>1</v>
      </c>
      <c r="E2863" s="2" t="str">
        <f>"2170758282"</f>
        <v>2170758282</v>
      </c>
      <c r="F2863" s="2" t="s">
        <v>17</v>
      </c>
      <c r="G2863" s="2" t="s">
        <v>18</v>
      </c>
      <c r="H2863" s="2" t="s">
        <v>25</v>
      </c>
      <c r="I2863" s="2" t="s">
        <v>26</v>
      </c>
      <c r="J2863" s="2" t="s">
        <v>75</v>
      </c>
      <c r="K2863" s="2" t="s">
        <v>1897</v>
      </c>
      <c r="L2863" s="3">
        <v>0.32777777777777778</v>
      </c>
      <c r="M2863" s="2" t="s">
        <v>1329</v>
      </c>
      <c r="N2863" s="2" t="s">
        <v>500</v>
      </c>
      <c r="O2863" s="2"/>
    </row>
    <row r="2864" spans="1:15" x14ac:dyDescent="0.25">
      <c r="A2864" s="2" t="s">
        <v>15</v>
      </c>
      <c r="B2864" s="2" t="str">
        <f>"FES1162771253"</f>
        <v>FES1162771253</v>
      </c>
      <c r="C2864" s="2" t="s">
        <v>1762</v>
      </c>
      <c r="D2864" s="2">
        <v>1</v>
      </c>
      <c r="E2864" s="2" t="str">
        <f>"2170758319"</f>
        <v>2170758319</v>
      </c>
      <c r="F2864" s="2" t="s">
        <v>17</v>
      </c>
      <c r="G2864" s="2" t="s">
        <v>18</v>
      </c>
      <c r="H2864" s="2" t="s">
        <v>25</v>
      </c>
      <c r="I2864" s="2" t="s">
        <v>26</v>
      </c>
      <c r="J2864" s="2" t="s">
        <v>75</v>
      </c>
      <c r="K2864" s="2" t="s">
        <v>1897</v>
      </c>
      <c r="L2864" s="3">
        <v>0.32430555555555557</v>
      </c>
      <c r="M2864" s="2" t="s">
        <v>1329</v>
      </c>
      <c r="N2864" s="2" t="s">
        <v>500</v>
      </c>
      <c r="O2864" s="2"/>
    </row>
    <row r="2865" spans="1:15" x14ac:dyDescent="0.25">
      <c r="A2865" s="2" t="s">
        <v>15</v>
      </c>
      <c r="B2865" s="2" t="str">
        <f>"FES1162771238"</f>
        <v>FES1162771238</v>
      </c>
      <c r="C2865" s="2" t="s">
        <v>1762</v>
      </c>
      <c r="D2865" s="2">
        <v>1</v>
      </c>
      <c r="E2865" s="2" t="str">
        <f>"2170758295"</f>
        <v>2170758295</v>
      </c>
      <c r="F2865" s="2" t="s">
        <v>17</v>
      </c>
      <c r="G2865" s="2" t="s">
        <v>18</v>
      </c>
      <c r="H2865" s="2" t="s">
        <v>30</v>
      </c>
      <c r="I2865" s="2" t="s">
        <v>444</v>
      </c>
      <c r="J2865" s="2" t="s">
        <v>445</v>
      </c>
      <c r="K2865" s="2" t="s">
        <v>1897</v>
      </c>
      <c r="L2865" s="3">
        <v>0.45833333333333331</v>
      </c>
      <c r="M2865" s="2" t="s">
        <v>1914</v>
      </c>
      <c r="N2865" s="2" t="s">
        <v>500</v>
      </c>
      <c r="O2865" s="2"/>
    </row>
    <row r="2866" spans="1:15" x14ac:dyDescent="0.25">
      <c r="A2866" s="2" t="s">
        <v>15</v>
      </c>
      <c r="B2866" s="2" t="str">
        <f>"FES1162771234"</f>
        <v>FES1162771234</v>
      </c>
      <c r="C2866" s="2" t="s">
        <v>1762</v>
      </c>
      <c r="D2866" s="2">
        <v>1</v>
      </c>
      <c r="E2866" s="2" t="str">
        <f>"2170753289"</f>
        <v>2170753289</v>
      </c>
      <c r="F2866" s="2" t="s">
        <v>17</v>
      </c>
      <c r="G2866" s="2" t="s">
        <v>18</v>
      </c>
      <c r="H2866" s="2" t="s">
        <v>120</v>
      </c>
      <c r="I2866" s="2" t="s">
        <v>121</v>
      </c>
      <c r="J2866" s="2" t="s">
        <v>122</v>
      </c>
      <c r="K2866" s="2" t="s">
        <v>1897</v>
      </c>
      <c r="L2866" s="3">
        <v>0.5</v>
      </c>
      <c r="M2866" s="2" t="s">
        <v>1548</v>
      </c>
      <c r="N2866" s="2" t="s">
        <v>500</v>
      </c>
      <c r="O2866" s="2"/>
    </row>
    <row r="2867" spans="1:15" x14ac:dyDescent="0.25">
      <c r="A2867" s="2" t="s">
        <v>15</v>
      </c>
      <c r="B2867" s="2" t="str">
        <f>"FES1162771116"</f>
        <v>FES1162771116</v>
      </c>
      <c r="C2867" s="2" t="s">
        <v>1762</v>
      </c>
      <c r="D2867" s="2">
        <v>1</v>
      </c>
      <c r="E2867" s="2" t="str">
        <f>"2170756351"</f>
        <v>2170756351</v>
      </c>
      <c r="F2867" s="2" t="s">
        <v>17</v>
      </c>
      <c r="G2867" s="2" t="s">
        <v>18</v>
      </c>
      <c r="H2867" s="2" t="s">
        <v>18</v>
      </c>
      <c r="I2867" s="2" t="s">
        <v>63</v>
      </c>
      <c r="J2867" s="2" t="s">
        <v>93</v>
      </c>
      <c r="K2867" s="2" t="s">
        <v>1897</v>
      </c>
      <c r="L2867" s="3">
        <v>0.37986111111111115</v>
      </c>
      <c r="M2867" s="2" t="s">
        <v>2021</v>
      </c>
      <c r="N2867" s="2" t="s">
        <v>500</v>
      </c>
      <c r="O2867" s="2"/>
    </row>
    <row r="2868" spans="1:15" x14ac:dyDescent="0.25">
      <c r="A2868" s="2" t="s">
        <v>15</v>
      </c>
      <c r="B2868" s="2" t="str">
        <f>"FES1162771241"</f>
        <v>FES1162771241</v>
      </c>
      <c r="C2868" s="2" t="s">
        <v>1762</v>
      </c>
      <c r="D2868" s="2">
        <v>1</v>
      </c>
      <c r="E2868" s="2" t="str">
        <f>"2170758299"</f>
        <v>2170758299</v>
      </c>
      <c r="F2868" s="2" t="s">
        <v>17</v>
      </c>
      <c r="G2868" s="2" t="s">
        <v>18</v>
      </c>
      <c r="H2868" s="2" t="s">
        <v>19</v>
      </c>
      <c r="I2868" s="2" t="s">
        <v>269</v>
      </c>
      <c r="J2868" s="2" t="s">
        <v>655</v>
      </c>
      <c r="K2868" s="2" t="s">
        <v>1897</v>
      </c>
      <c r="L2868" s="3">
        <v>0.4375</v>
      </c>
      <c r="M2868" s="2" t="s">
        <v>1885</v>
      </c>
      <c r="N2868" s="2" t="s">
        <v>500</v>
      </c>
      <c r="O2868" s="2"/>
    </row>
    <row r="2869" spans="1:15" x14ac:dyDescent="0.25">
      <c r="A2869" s="2" t="s">
        <v>15</v>
      </c>
      <c r="B2869" s="2" t="str">
        <f>"FES1162771181"</f>
        <v>FES1162771181</v>
      </c>
      <c r="C2869" s="2" t="s">
        <v>1762</v>
      </c>
      <c r="D2869" s="2">
        <v>1</v>
      </c>
      <c r="E2869" s="2" t="str">
        <f>"2170756080"</f>
        <v>2170756080</v>
      </c>
      <c r="F2869" s="2" t="s">
        <v>17</v>
      </c>
      <c r="G2869" s="2" t="s">
        <v>18</v>
      </c>
      <c r="H2869" s="2" t="s">
        <v>19</v>
      </c>
      <c r="I2869" s="2" t="s">
        <v>111</v>
      </c>
      <c r="J2869" s="2" t="s">
        <v>464</v>
      </c>
      <c r="K2869" s="2" t="s">
        <v>1897</v>
      </c>
      <c r="L2869" s="3">
        <v>0.43124999999999997</v>
      </c>
      <c r="M2869" s="2" t="s">
        <v>572</v>
      </c>
      <c r="N2869" s="2" t="s">
        <v>500</v>
      </c>
      <c r="O2869" s="2"/>
    </row>
    <row r="2870" spans="1:15" x14ac:dyDescent="0.25">
      <c r="A2870" s="2" t="s">
        <v>15</v>
      </c>
      <c r="B2870" s="2" t="str">
        <f>"FES1162771090"</f>
        <v>FES1162771090</v>
      </c>
      <c r="C2870" s="2" t="s">
        <v>1762</v>
      </c>
      <c r="D2870" s="2">
        <v>1</v>
      </c>
      <c r="E2870" s="2" t="str">
        <f>"2170755929"</f>
        <v>2170755929</v>
      </c>
      <c r="F2870" s="2" t="s">
        <v>17</v>
      </c>
      <c r="G2870" s="2" t="s">
        <v>18</v>
      </c>
      <c r="H2870" s="2" t="s">
        <v>25</v>
      </c>
      <c r="I2870" s="2" t="s">
        <v>39</v>
      </c>
      <c r="J2870" s="2" t="s">
        <v>40</v>
      </c>
      <c r="K2870" s="2" t="s">
        <v>1897</v>
      </c>
      <c r="L2870" s="3">
        <v>0.41666666666666669</v>
      </c>
      <c r="M2870" s="2" t="s">
        <v>991</v>
      </c>
      <c r="N2870" s="2" t="s">
        <v>500</v>
      </c>
      <c r="O2870" s="2"/>
    </row>
    <row r="2871" spans="1:15" x14ac:dyDescent="0.25">
      <c r="A2871" s="2" t="s">
        <v>15</v>
      </c>
      <c r="B2871" s="2" t="str">
        <f>"FES1162771252"</f>
        <v>FES1162771252</v>
      </c>
      <c r="C2871" s="2" t="s">
        <v>1762</v>
      </c>
      <c r="D2871" s="2">
        <v>1</v>
      </c>
      <c r="E2871" s="2" t="str">
        <f>"2170758315"</f>
        <v>2170758315</v>
      </c>
      <c r="F2871" s="2" t="s">
        <v>17</v>
      </c>
      <c r="G2871" s="2" t="s">
        <v>18</v>
      </c>
      <c r="H2871" s="2" t="s">
        <v>25</v>
      </c>
      <c r="I2871" s="2" t="s">
        <v>26</v>
      </c>
      <c r="J2871" s="2" t="s">
        <v>75</v>
      </c>
      <c r="K2871" s="2" t="s">
        <v>1897</v>
      </c>
      <c r="L2871" s="3">
        <v>0.32777777777777778</v>
      </c>
      <c r="M2871" s="2" t="s">
        <v>1329</v>
      </c>
      <c r="N2871" s="2" t="s">
        <v>500</v>
      </c>
      <c r="O2871" s="2"/>
    </row>
    <row r="2872" spans="1:15" x14ac:dyDescent="0.25">
      <c r="A2872" s="2" t="s">
        <v>15</v>
      </c>
      <c r="B2872" s="2" t="str">
        <f>"FES1162771236"</f>
        <v>FES1162771236</v>
      </c>
      <c r="C2872" s="2" t="s">
        <v>1762</v>
      </c>
      <c r="D2872" s="2">
        <v>1</v>
      </c>
      <c r="E2872" s="2" t="str">
        <f>"2170758291"</f>
        <v>2170758291</v>
      </c>
      <c r="F2872" s="2" t="s">
        <v>17</v>
      </c>
      <c r="G2872" s="2" t="s">
        <v>18</v>
      </c>
      <c r="H2872" s="2" t="s">
        <v>25</v>
      </c>
      <c r="I2872" s="2" t="s">
        <v>26</v>
      </c>
      <c r="J2872" s="2" t="s">
        <v>100</v>
      </c>
      <c r="K2872" s="2" t="s">
        <v>1897</v>
      </c>
      <c r="L2872" s="3">
        <v>0.31805555555555554</v>
      </c>
      <c r="M2872" s="2" t="s">
        <v>454</v>
      </c>
      <c r="N2872" s="2" t="s">
        <v>500</v>
      </c>
      <c r="O2872" s="2"/>
    </row>
    <row r="2873" spans="1:15" x14ac:dyDescent="0.25">
      <c r="A2873" s="2" t="s">
        <v>15</v>
      </c>
      <c r="B2873" s="2" t="str">
        <f>"FES1162769561"</f>
        <v>FES1162769561</v>
      </c>
      <c r="C2873" s="2" t="s">
        <v>1762</v>
      </c>
      <c r="D2873" s="2">
        <v>1</v>
      </c>
      <c r="E2873" s="2" t="str">
        <f>"2170756587"</f>
        <v>2170756587</v>
      </c>
      <c r="F2873" s="2" t="s">
        <v>17</v>
      </c>
      <c r="G2873" s="2" t="s">
        <v>18</v>
      </c>
      <c r="H2873" s="2" t="s">
        <v>88</v>
      </c>
      <c r="I2873" s="2" t="s">
        <v>109</v>
      </c>
      <c r="J2873" s="2" t="s">
        <v>155</v>
      </c>
      <c r="K2873" s="2" t="s">
        <v>1897</v>
      </c>
      <c r="L2873" s="3">
        <v>0.36805555555555558</v>
      </c>
      <c r="M2873" s="2" t="s">
        <v>251</v>
      </c>
      <c r="N2873" s="2" t="s">
        <v>500</v>
      </c>
      <c r="O2873" s="2"/>
    </row>
    <row r="2874" spans="1:15" x14ac:dyDescent="0.25">
      <c r="A2874" s="2" t="s">
        <v>15</v>
      </c>
      <c r="B2874" s="2" t="str">
        <f>"FES1162771132"</f>
        <v>FES1162771132</v>
      </c>
      <c r="C2874" s="2" t="s">
        <v>1762</v>
      </c>
      <c r="D2874" s="2">
        <v>1</v>
      </c>
      <c r="E2874" s="2" t="str">
        <f>"2170756645"</f>
        <v>2170756645</v>
      </c>
      <c r="F2874" s="2" t="s">
        <v>17</v>
      </c>
      <c r="G2874" s="2" t="s">
        <v>18</v>
      </c>
      <c r="H2874" s="2" t="s">
        <v>25</v>
      </c>
      <c r="I2874" s="2" t="s">
        <v>42</v>
      </c>
      <c r="J2874" s="2" t="s">
        <v>651</v>
      </c>
      <c r="K2874" s="2" t="s">
        <v>1897</v>
      </c>
      <c r="L2874" s="3">
        <v>0.49652777777777773</v>
      </c>
      <c r="M2874" s="2" t="s">
        <v>722</v>
      </c>
      <c r="N2874" s="2" t="s">
        <v>500</v>
      </c>
      <c r="O2874" s="2"/>
    </row>
    <row r="2875" spans="1:15" x14ac:dyDescent="0.25">
      <c r="A2875" s="2" t="s">
        <v>15</v>
      </c>
      <c r="B2875" s="2" t="str">
        <f>"FES1162771183"</f>
        <v>FES1162771183</v>
      </c>
      <c r="C2875" s="2" t="s">
        <v>1762</v>
      </c>
      <c r="D2875" s="2">
        <v>1</v>
      </c>
      <c r="E2875" s="2" t="str">
        <f>"2170756157"</f>
        <v>2170756157</v>
      </c>
      <c r="F2875" s="2" t="s">
        <v>17</v>
      </c>
      <c r="G2875" s="2" t="s">
        <v>18</v>
      </c>
      <c r="H2875" s="2" t="s">
        <v>25</v>
      </c>
      <c r="I2875" s="2" t="s">
        <v>26</v>
      </c>
      <c r="J2875" s="2" t="s">
        <v>75</v>
      </c>
      <c r="K2875" s="2" t="s">
        <v>1897</v>
      </c>
      <c r="L2875" s="3">
        <v>0.32777777777777778</v>
      </c>
      <c r="M2875" s="2" t="s">
        <v>1329</v>
      </c>
      <c r="N2875" s="2" t="s">
        <v>500</v>
      </c>
      <c r="O2875" s="2"/>
    </row>
    <row r="2876" spans="1:15" x14ac:dyDescent="0.25">
      <c r="A2876" s="2" t="s">
        <v>15</v>
      </c>
      <c r="B2876" s="2" t="str">
        <f>"FES1162771264"</f>
        <v>FES1162771264</v>
      </c>
      <c r="C2876" s="2" t="s">
        <v>1762</v>
      </c>
      <c r="D2876" s="2">
        <v>1</v>
      </c>
      <c r="E2876" s="2" t="str">
        <f>"2170728329"</f>
        <v>2170728329</v>
      </c>
      <c r="F2876" s="2" t="s">
        <v>17</v>
      </c>
      <c r="G2876" s="2" t="s">
        <v>18</v>
      </c>
      <c r="H2876" s="2" t="s">
        <v>19</v>
      </c>
      <c r="I2876" s="2" t="s">
        <v>20</v>
      </c>
      <c r="J2876" s="2" t="s">
        <v>166</v>
      </c>
      <c r="K2876" s="2" t="s">
        <v>1897</v>
      </c>
      <c r="L2876" s="3">
        <v>0.42499999999999999</v>
      </c>
      <c r="M2876" s="2" t="s">
        <v>1737</v>
      </c>
      <c r="N2876" s="2" t="s">
        <v>500</v>
      </c>
      <c r="O2876" s="2"/>
    </row>
    <row r="2877" spans="1:15" x14ac:dyDescent="0.25">
      <c r="A2877" s="2" t="s">
        <v>15</v>
      </c>
      <c r="B2877" s="2" t="str">
        <f>"FES1162771178"</f>
        <v>FES1162771178</v>
      </c>
      <c r="C2877" s="2" t="s">
        <v>1762</v>
      </c>
      <c r="D2877" s="2">
        <v>1</v>
      </c>
      <c r="E2877" s="2" t="str">
        <f>"2170756020"</f>
        <v>2170756020</v>
      </c>
      <c r="F2877" s="2" t="s">
        <v>17</v>
      </c>
      <c r="G2877" s="2" t="s">
        <v>18</v>
      </c>
      <c r="H2877" s="2" t="s">
        <v>36</v>
      </c>
      <c r="I2877" s="2" t="s">
        <v>37</v>
      </c>
      <c r="J2877" s="2" t="s">
        <v>41</v>
      </c>
      <c r="K2877" s="2" t="s">
        <v>1897</v>
      </c>
      <c r="L2877" s="3">
        <v>0.36874999999999997</v>
      </c>
      <c r="M2877" s="2" t="s">
        <v>2022</v>
      </c>
      <c r="N2877" s="2" t="s">
        <v>500</v>
      </c>
      <c r="O2877" s="2"/>
    </row>
    <row r="2878" spans="1:15" x14ac:dyDescent="0.25">
      <c r="A2878" s="2" t="s">
        <v>15</v>
      </c>
      <c r="B2878" s="2" t="str">
        <f>"FES1162771242"</f>
        <v>FES1162771242</v>
      </c>
      <c r="C2878" s="2" t="s">
        <v>1762</v>
      </c>
      <c r="D2878" s="2">
        <v>1</v>
      </c>
      <c r="E2878" s="2" t="str">
        <f>"2170758302"</f>
        <v>2170758302</v>
      </c>
      <c r="F2878" s="2" t="s">
        <v>17</v>
      </c>
      <c r="G2878" s="2" t="s">
        <v>18</v>
      </c>
      <c r="H2878" s="2" t="s">
        <v>25</v>
      </c>
      <c r="I2878" s="2" t="s">
        <v>26</v>
      </c>
      <c r="J2878" s="2" t="s">
        <v>1288</v>
      </c>
      <c r="K2878" s="2" t="s">
        <v>1897</v>
      </c>
      <c r="L2878" s="3">
        <v>0.43402777777777773</v>
      </c>
      <c r="M2878" s="2" t="s">
        <v>1340</v>
      </c>
      <c r="N2878" s="2" t="s">
        <v>500</v>
      </c>
      <c r="O2878" s="2"/>
    </row>
    <row r="2879" spans="1:15" x14ac:dyDescent="0.25">
      <c r="A2879" s="2" t="s">
        <v>15</v>
      </c>
      <c r="B2879" s="2" t="str">
        <f>"FES1162771189"</f>
        <v>FES1162771189</v>
      </c>
      <c r="C2879" s="2" t="s">
        <v>1762</v>
      </c>
      <c r="D2879" s="2">
        <v>1</v>
      </c>
      <c r="E2879" s="2" t="str">
        <f>"2170758202"</f>
        <v>2170758202</v>
      </c>
      <c r="F2879" s="2" t="s">
        <v>17</v>
      </c>
      <c r="G2879" s="2" t="s">
        <v>18</v>
      </c>
      <c r="H2879" s="2" t="s">
        <v>25</v>
      </c>
      <c r="I2879" s="2" t="s">
        <v>26</v>
      </c>
      <c r="J2879" s="2" t="s">
        <v>1951</v>
      </c>
      <c r="K2879" s="2" t="s">
        <v>1897</v>
      </c>
      <c r="L2879" s="3">
        <v>0.34513888888888888</v>
      </c>
      <c r="M2879" s="2" t="s">
        <v>1398</v>
      </c>
      <c r="N2879" s="2" t="s">
        <v>500</v>
      </c>
      <c r="O2879" s="2"/>
    </row>
    <row r="2880" spans="1:15" x14ac:dyDescent="0.25">
      <c r="A2880" s="2" t="s">
        <v>15</v>
      </c>
      <c r="B2880" s="2" t="str">
        <f>"FES1162771003"</f>
        <v>FES1162771003</v>
      </c>
      <c r="C2880" s="2" t="s">
        <v>1762</v>
      </c>
      <c r="D2880" s="2">
        <v>1</v>
      </c>
      <c r="E2880" s="2" t="str">
        <f>"2170756789"</f>
        <v>2170756789</v>
      </c>
      <c r="F2880" s="2" t="s">
        <v>17</v>
      </c>
      <c r="G2880" s="2" t="s">
        <v>18</v>
      </c>
      <c r="H2880" s="2" t="s">
        <v>18</v>
      </c>
      <c r="I2880" s="2" t="s">
        <v>52</v>
      </c>
      <c r="J2880" s="2" t="s">
        <v>1460</v>
      </c>
      <c r="K2880" s="2" t="s">
        <v>1897</v>
      </c>
      <c r="L2880" s="3">
        <v>0.34027777777777773</v>
      </c>
      <c r="M2880" s="2" t="s">
        <v>1576</v>
      </c>
      <c r="N2880" s="2" t="s">
        <v>500</v>
      </c>
      <c r="O2880" s="2"/>
    </row>
    <row r="2881" spans="1:15" x14ac:dyDescent="0.25">
      <c r="A2881" s="2" t="s">
        <v>15</v>
      </c>
      <c r="B2881" s="2" t="str">
        <f>"FES1162771059"</f>
        <v>FES1162771059</v>
      </c>
      <c r="C2881" s="2" t="s">
        <v>1762</v>
      </c>
      <c r="D2881" s="2">
        <v>1</v>
      </c>
      <c r="E2881" s="2" t="str">
        <f>"2170758182"</f>
        <v>2170758182</v>
      </c>
      <c r="F2881" s="2" t="s">
        <v>17</v>
      </c>
      <c r="G2881" s="2" t="s">
        <v>18</v>
      </c>
      <c r="H2881" s="2" t="s">
        <v>18</v>
      </c>
      <c r="I2881" s="2" t="s">
        <v>157</v>
      </c>
      <c r="J2881" s="2" t="s">
        <v>347</v>
      </c>
      <c r="K2881" s="2" t="s">
        <v>1897</v>
      </c>
      <c r="L2881" s="3">
        <v>0.43055555555555558</v>
      </c>
      <c r="M2881" s="2" t="s">
        <v>2023</v>
      </c>
      <c r="N2881" s="2" t="s">
        <v>500</v>
      </c>
      <c r="O2881" s="2"/>
    </row>
    <row r="2882" spans="1:15" x14ac:dyDescent="0.25">
      <c r="A2882" s="2" t="s">
        <v>15</v>
      </c>
      <c r="B2882" s="2" t="str">
        <f>"FES1162771131"</f>
        <v>FES1162771131</v>
      </c>
      <c r="C2882" s="2" t="s">
        <v>1762</v>
      </c>
      <c r="D2882" s="2">
        <v>1</v>
      </c>
      <c r="E2882" s="2" t="str">
        <f>"2170756642"</f>
        <v>2170756642</v>
      </c>
      <c r="F2882" s="2" t="s">
        <v>17</v>
      </c>
      <c r="G2882" s="2" t="s">
        <v>18</v>
      </c>
      <c r="H2882" s="2" t="s">
        <v>25</v>
      </c>
      <c r="I2882" s="2" t="s">
        <v>26</v>
      </c>
      <c r="J2882" s="2" t="s">
        <v>27</v>
      </c>
      <c r="K2882" s="2" t="s">
        <v>1897</v>
      </c>
      <c r="L2882" s="3">
        <v>0.4145833333333333</v>
      </c>
      <c r="M2882" s="2" t="s">
        <v>521</v>
      </c>
      <c r="N2882" s="2" t="s">
        <v>500</v>
      </c>
      <c r="O2882" s="2"/>
    </row>
    <row r="2883" spans="1:15" x14ac:dyDescent="0.25">
      <c r="A2883" s="2" t="s">
        <v>15</v>
      </c>
      <c r="B2883" s="2" t="str">
        <f>"FES1162771124"</f>
        <v>FES1162771124</v>
      </c>
      <c r="C2883" s="2" t="s">
        <v>1762</v>
      </c>
      <c r="D2883" s="2">
        <v>1</v>
      </c>
      <c r="E2883" s="2" t="str">
        <f>"2170756394"</f>
        <v>2170756394</v>
      </c>
      <c r="F2883" s="2" t="s">
        <v>17</v>
      </c>
      <c r="G2883" s="2" t="s">
        <v>18</v>
      </c>
      <c r="H2883" s="2" t="s">
        <v>88</v>
      </c>
      <c r="I2883" s="2" t="s">
        <v>109</v>
      </c>
      <c r="J2883" s="2" t="s">
        <v>452</v>
      </c>
      <c r="K2883" s="2" t="s">
        <v>1897</v>
      </c>
      <c r="L2883" s="3">
        <v>0.42291666666666666</v>
      </c>
      <c r="M2883" s="2" t="s">
        <v>2011</v>
      </c>
      <c r="N2883" s="2" t="s">
        <v>500</v>
      </c>
      <c r="O2883" s="2"/>
    </row>
    <row r="2884" spans="1:15" x14ac:dyDescent="0.25">
      <c r="A2884" s="2" t="s">
        <v>15</v>
      </c>
      <c r="B2884" s="2" t="str">
        <f>"FES1162771193"</f>
        <v>FES1162771193</v>
      </c>
      <c r="C2884" s="2" t="s">
        <v>1762</v>
      </c>
      <c r="D2884" s="2">
        <v>1</v>
      </c>
      <c r="E2884" s="2" t="str">
        <f>"2170758240"</f>
        <v>2170758240</v>
      </c>
      <c r="F2884" s="2" t="s">
        <v>17</v>
      </c>
      <c r="G2884" s="2" t="s">
        <v>18</v>
      </c>
      <c r="H2884" s="2" t="s">
        <v>25</v>
      </c>
      <c r="I2884" s="2" t="s">
        <v>26</v>
      </c>
      <c r="J2884" s="2" t="s">
        <v>75</v>
      </c>
      <c r="K2884" s="2" t="s">
        <v>1897</v>
      </c>
      <c r="L2884" s="3">
        <v>0.32708333333333334</v>
      </c>
      <c r="M2884" s="2" t="s">
        <v>1329</v>
      </c>
      <c r="N2884" s="2" t="s">
        <v>500</v>
      </c>
      <c r="O2884" s="2"/>
    </row>
    <row r="2885" spans="1:15" x14ac:dyDescent="0.25">
      <c r="A2885" s="2" t="s">
        <v>15</v>
      </c>
      <c r="B2885" s="2" t="str">
        <f>"FES1162771180"</f>
        <v>FES1162771180</v>
      </c>
      <c r="C2885" s="2" t="s">
        <v>1762</v>
      </c>
      <c r="D2885" s="2">
        <v>1</v>
      </c>
      <c r="E2885" s="2" t="str">
        <f>"2170756071"</f>
        <v>2170756071</v>
      </c>
      <c r="F2885" s="2" t="s">
        <v>17</v>
      </c>
      <c r="G2885" s="2" t="s">
        <v>18</v>
      </c>
      <c r="H2885" s="2" t="s">
        <v>18</v>
      </c>
      <c r="I2885" s="2" t="s">
        <v>290</v>
      </c>
      <c r="J2885" s="2" t="s">
        <v>1948</v>
      </c>
      <c r="K2885" s="2" t="s">
        <v>1897</v>
      </c>
      <c r="L2885" s="3">
        <v>0.4375</v>
      </c>
      <c r="M2885" s="2" t="s">
        <v>2018</v>
      </c>
      <c r="N2885" s="2" t="s">
        <v>500</v>
      </c>
      <c r="O2885" s="2"/>
    </row>
    <row r="2886" spans="1:15" x14ac:dyDescent="0.25">
      <c r="A2886" s="2" t="s">
        <v>15</v>
      </c>
      <c r="B2886" s="2" t="str">
        <f>"FES1162771130"</f>
        <v>FES1162771130</v>
      </c>
      <c r="C2886" s="2" t="s">
        <v>1762</v>
      </c>
      <c r="D2886" s="2">
        <v>1</v>
      </c>
      <c r="E2886" s="2" t="str">
        <f>"2170756624"</f>
        <v>2170756624</v>
      </c>
      <c r="F2886" s="2" t="s">
        <v>17</v>
      </c>
      <c r="G2886" s="2" t="s">
        <v>18</v>
      </c>
      <c r="H2886" s="2" t="s">
        <v>25</v>
      </c>
      <c r="I2886" s="2" t="s">
        <v>26</v>
      </c>
      <c r="J2886" s="2" t="s">
        <v>1951</v>
      </c>
      <c r="K2886" s="2" t="s">
        <v>1897</v>
      </c>
      <c r="L2886" s="3">
        <v>0.34513888888888888</v>
      </c>
      <c r="M2886" s="2" t="s">
        <v>1398</v>
      </c>
      <c r="N2886" s="2" t="s">
        <v>500</v>
      </c>
      <c r="O2886" s="2"/>
    </row>
    <row r="2887" spans="1:15" x14ac:dyDescent="0.25">
      <c r="A2887" s="2" t="s">
        <v>15</v>
      </c>
      <c r="B2887" s="2" t="str">
        <f>"FES1162771258"</f>
        <v>FES1162771258</v>
      </c>
      <c r="C2887" s="2" t="s">
        <v>1762</v>
      </c>
      <c r="D2887" s="2">
        <v>1</v>
      </c>
      <c r="E2887" s="2" t="str">
        <f>"2170758326"</f>
        <v>2170758326</v>
      </c>
      <c r="F2887" s="2" t="s">
        <v>17</v>
      </c>
      <c r="G2887" s="2" t="s">
        <v>18</v>
      </c>
      <c r="H2887" s="2" t="s">
        <v>19</v>
      </c>
      <c r="I2887" s="2" t="s">
        <v>20</v>
      </c>
      <c r="J2887" s="2" t="s">
        <v>166</v>
      </c>
      <c r="K2887" s="2" t="s">
        <v>1897</v>
      </c>
      <c r="L2887" s="3">
        <v>0.42499999999999999</v>
      </c>
      <c r="M2887" s="2" t="s">
        <v>1737</v>
      </c>
      <c r="N2887" s="2" t="s">
        <v>500</v>
      </c>
      <c r="O2887" s="2"/>
    </row>
    <row r="2888" spans="1:15" x14ac:dyDescent="0.25">
      <c r="A2888" s="2" t="s">
        <v>15</v>
      </c>
      <c r="B2888" s="2" t="str">
        <f>"FES1162771164"</f>
        <v>FES1162771164</v>
      </c>
      <c r="C2888" s="2" t="s">
        <v>1762</v>
      </c>
      <c r="D2888" s="2">
        <v>1</v>
      </c>
      <c r="E2888" s="2" t="str">
        <f>"2170754967"</f>
        <v>2170754967</v>
      </c>
      <c r="F2888" s="2" t="s">
        <v>17</v>
      </c>
      <c r="G2888" s="2" t="s">
        <v>18</v>
      </c>
      <c r="H2888" s="2" t="s">
        <v>18</v>
      </c>
      <c r="I2888" s="2" t="s">
        <v>459</v>
      </c>
      <c r="J2888" s="2" t="s">
        <v>460</v>
      </c>
      <c r="K2888" s="2" t="s">
        <v>1969</v>
      </c>
      <c r="L2888" s="3">
        <v>0.65</v>
      </c>
      <c r="M2888" s="2" t="s">
        <v>502</v>
      </c>
      <c r="N2888" s="2" t="s">
        <v>500</v>
      </c>
      <c r="O2888" s="2"/>
    </row>
    <row r="2889" spans="1:15" x14ac:dyDescent="0.25">
      <c r="A2889" s="2" t="s">
        <v>15</v>
      </c>
      <c r="B2889" s="2" t="str">
        <f>"FES1162771144"</f>
        <v>FES1162771144</v>
      </c>
      <c r="C2889" s="2" t="s">
        <v>1762</v>
      </c>
      <c r="D2889" s="2">
        <v>1</v>
      </c>
      <c r="E2889" s="2" t="str">
        <f>"2170757288"</f>
        <v>2170757288</v>
      </c>
      <c r="F2889" s="2" t="s">
        <v>17</v>
      </c>
      <c r="G2889" s="2" t="s">
        <v>18</v>
      </c>
      <c r="H2889" s="2" t="s">
        <v>88</v>
      </c>
      <c r="I2889" s="2" t="s">
        <v>109</v>
      </c>
      <c r="J2889" s="2" t="s">
        <v>1952</v>
      </c>
      <c r="K2889" s="2" t="s">
        <v>1897</v>
      </c>
      <c r="L2889" s="3">
        <v>0.41319444444444442</v>
      </c>
      <c r="M2889" s="2" t="s">
        <v>2024</v>
      </c>
      <c r="N2889" s="2" t="s">
        <v>500</v>
      </c>
      <c r="O2889" s="2"/>
    </row>
    <row r="2890" spans="1:15" x14ac:dyDescent="0.25">
      <c r="A2890" s="2" t="s">
        <v>15</v>
      </c>
      <c r="B2890" s="2" t="str">
        <f>"FES1162771009"</f>
        <v>FES1162771009</v>
      </c>
      <c r="C2890" s="2" t="s">
        <v>1762</v>
      </c>
      <c r="D2890" s="2">
        <v>1</v>
      </c>
      <c r="E2890" s="2" t="str">
        <f>"2170757820"</f>
        <v>2170757820</v>
      </c>
      <c r="F2890" s="2" t="s">
        <v>17</v>
      </c>
      <c r="G2890" s="2" t="s">
        <v>18</v>
      </c>
      <c r="H2890" s="2" t="s">
        <v>88</v>
      </c>
      <c r="I2890" s="2" t="s">
        <v>109</v>
      </c>
      <c r="J2890" s="2" t="s">
        <v>894</v>
      </c>
      <c r="K2890" s="2" t="s">
        <v>1897</v>
      </c>
      <c r="L2890" s="3">
        <v>0.38194444444444442</v>
      </c>
      <c r="M2890" s="2" t="s">
        <v>1904</v>
      </c>
      <c r="N2890" s="2" t="s">
        <v>500</v>
      </c>
      <c r="O2890" s="2"/>
    </row>
    <row r="2891" spans="1:15" x14ac:dyDescent="0.25">
      <c r="A2891" s="2" t="s">
        <v>15</v>
      </c>
      <c r="B2891" s="2" t="str">
        <f>"FES1162771163"</f>
        <v>FES1162771163</v>
      </c>
      <c r="C2891" s="2" t="s">
        <v>1762</v>
      </c>
      <c r="D2891" s="2">
        <v>1</v>
      </c>
      <c r="E2891" s="2" t="str">
        <f>"2170754668"</f>
        <v>2170754668</v>
      </c>
      <c r="F2891" s="2" t="s">
        <v>17</v>
      </c>
      <c r="G2891" s="2" t="s">
        <v>18</v>
      </c>
      <c r="H2891" s="2" t="s">
        <v>18</v>
      </c>
      <c r="I2891" s="2" t="s">
        <v>46</v>
      </c>
      <c r="J2891" s="2" t="s">
        <v>1131</v>
      </c>
      <c r="K2891" s="2" t="s">
        <v>1897</v>
      </c>
      <c r="L2891" s="3">
        <v>0.35069444444444442</v>
      </c>
      <c r="M2891" s="2" t="s">
        <v>1186</v>
      </c>
      <c r="N2891" s="2" t="s">
        <v>500</v>
      </c>
      <c r="O2891" s="2"/>
    </row>
    <row r="2892" spans="1:15" x14ac:dyDescent="0.25">
      <c r="A2892" s="2" t="s">
        <v>15</v>
      </c>
      <c r="B2892" s="2" t="str">
        <f>"FES1162771199"</f>
        <v>FES1162771199</v>
      </c>
      <c r="C2892" s="2" t="s">
        <v>1762</v>
      </c>
      <c r="D2892" s="2">
        <v>1</v>
      </c>
      <c r="E2892" s="2" t="str">
        <f>"2170758245"</f>
        <v>2170758245</v>
      </c>
      <c r="F2892" s="2" t="s">
        <v>17</v>
      </c>
      <c r="G2892" s="2" t="s">
        <v>18</v>
      </c>
      <c r="H2892" s="2" t="s">
        <v>88</v>
      </c>
      <c r="I2892" s="2" t="s">
        <v>109</v>
      </c>
      <c r="J2892" s="2" t="s">
        <v>1953</v>
      </c>
      <c r="K2892" s="2" t="s">
        <v>1897</v>
      </c>
      <c r="L2892" s="3">
        <v>0.34791666666666665</v>
      </c>
      <c r="M2892" s="2" t="s">
        <v>2025</v>
      </c>
      <c r="N2892" s="2" t="s">
        <v>500</v>
      </c>
      <c r="O2892" s="2"/>
    </row>
    <row r="2893" spans="1:15" x14ac:dyDescent="0.25">
      <c r="A2893" s="2" t="s">
        <v>15</v>
      </c>
      <c r="B2893" s="2" t="str">
        <f>"FES1162771137"</f>
        <v>FES1162771137</v>
      </c>
      <c r="C2893" s="2" t="s">
        <v>1762</v>
      </c>
      <c r="D2893" s="2">
        <v>1</v>
      </c>
      <c r="E2893" s="2" t="str">
        <f>"2170756656"</f>
        <v>2170756656</v>
      </c>
      <c r="F2893" s="2" t="s">
        <v>17</v>
      </c>
      <c r="G2893" s="2" t="s">
        <v>18</v>
      </c>
      <c r="H2893" s="2" t="s">
        <v>25</v>
      </c>
      <c r="I2893" s="2" t="s">
        <v>361</v>
      </c>
      <c r="J2893" s="2" t="s">
        <v>1400</v>
      </c>
      <c r="K2893" s="2" t="s">
        <v>1897</v>
      </c>
      <c r="L2893" s="3">
        <v>0.41666666666666669</v>
      </c>
      <c r="M2893" s="2" t="s">
        <v>1849</v>
      </c>
      <c r="N2893" s="2" t="s">
        <v>500</v>
      </c>
      <c r="O2893" s="2"/>
    </row>
    <row r="2894" spans="1:15" x14ac:dyDescent="0.25">
      <c r="A2894" s="5" t="s">
        <v>15</v>
      </c>
      <c r="B2894" s="5" t="str">
        <f>"FES1162771106"</f>
        <v>FES1162771106</v>
      </c>
      <c r="C2894" s="5" t="s">
        <v>1762</v>
      </c>
      <c r="D2894" s="5">
        <v>1</v>
      </c>
      <c r="E2894" s="5" t="str">
        <f>"2170756272"</f>
        <v>2170756272</v>
      </c>
      <c r="F2894" s="5" t="s">
        <v>17</v>
      </c>
      <c r="G2894" s="5" t="s">
        <v>18</v>
      </c>
      <c r="H2894" s="5" t="s">
        <v>25</v>
      </c>
      <c r="I2894" s="5" t="s">
        <v>624</v>
      </c>
      <c r="J2894" s="5" t="s">
        <v>625</v>
      </c>
      <c r="K2894" s="5" t="s">
        <v>2138</v>
      </c>
      <c r="L2894" s="9">
        <v>0.41666666666666669</v>
      </c>
      <c r="M2894" s="5" t="s">
        <v>2235</v>
      </c>
      <c r="N2894" s="5" t="s">
        <v>500</v>
      </c>
      <c r="O2894" s="5"/>
    </row>
    <row r="2895" spans="1:15" x14ac:dyDescent="0.25">
      <c r="A2895" s="2" t="s">
        <v>15</v>
      </c>
      <c r="B2895" s="2" t="str">
        <f>"FES1162771011"</f>
        <v>FES1162771011</v>
      </c>
      <c r="C2895" s="2" t="s">
        <v>1762</v>
      </c>
      <c r="D2895" s="2">
        <v>1</v>
      </c>
      <c r="E2895" s="2" t="str">
        <f>"2170757943"</f>
        <v>2170757943</v>
      </c>
      <c r="F2895" s="2" t="s">
        <v>17</v>
      </c>
      <c r="G2895" s="2" t="s">
        <v>18</v>
      </c>
      <c r="H2895" s="2" t="s">
        <v>33</v>
      </c>
      <c r="I2895" s="2" t="s">
        <v>34</v>
      </c>
      <c r="J2895" s="2" t="s">
        <v>71</v>
      </c>
      <c r="K2895" s="2" t="s">
        <v>1897</v>
      </c>
      <c r="L2895" s="3">
        <v>0.40416666666666662</v>
      </c>
      <c r="M2895" s="2" t="s">
        <v>2026</v>
      </c>
      <c r="N2895" s="2" t="s">
        <v>500</v>
      </c>
      <c r="O2895" s="2"/>
    </row>
    <row r="2896" spans="1:15" x14ac:dyDescent="0.25">
      <c r="A2896" s="2" t="s">
        <v>15</v>
      </c>
      <c r="B2896" s="2" t="str">
        <f>"FES1162771051"</f>
        <v>FES1162771051</v>
      </c>
      <c r="C2896" s="2" t="s">
        <v>1762</v>
      </c>
      <c r="D2896" s="2">
        <v>1</v>
      </c>
      <c r="E2896" s="2" t="str">
        <f>"2170758213"</f>
        <v>2170758213</v>
      </c>
      <c r="F2896" s="2" t="s">
        <v>17</v>
      </c>
      <c r="G2896" s="2" t="s">
        <v>18</v>
      </c>
      <c r="H2896" s="2" t="s">
        <v>36</v>
      </c>
      <c r="I2896" s="2" t="s">
        <v>496</v>
      </c>
      <c r="J2896" s="2" t="s">
        <v>497</v>
      </c>
      <c r="K2896" s="2" t="s">
        <v>1897</v>
      </c>
      <c r="L2896" s="3">
        <v>0.68333333333333324</v>
      </c>
      <c r="M2896" s="2" t="s">
        <v>726</v>
      </c>
      <c r="N2896" s="2" t="s">
        <v>500</v>
      </c>
      <c r="O2896" s="2"/>
    </row>
    <row r="2897" spans="1:15" x14ac:dyDescent="0.25">
      <c r="A2897" s="2" t="s">
        <v>15</v>
      </c>
      <c r="B2897" s="2" t="str">
        <f>"FES1162771194"</f>
        <v>FES1162771194</v>
      </c>
      <c r="C2897" s="2" t="s">
        <v>1762</v>
      </c>
      <c r="D2897" s="2">
        <v>1</v>
      </c>
      <c r="E2897" s="2" t="str">
        <f>"2170758242"</f>
        <v>2170758242</v>
      </c>
      <c r="F2897" s="2" t="s">
        <v>17</v>
      </c>
      <c r="G2897" s="2" t="s">
        <v>18</v>
      </c>
      <c r="H2897" s="2" t="s">
        <v>25</v>
      </c>
      <c r="I2897" s="2" t="s">
        <v>42</v>
      </c>
      <c r="J2897" s="2" t="s">
        <v>651</v>
      </c>
      <c r="K2897" s="2" t="s">
        <v>1897</v>
      </c>
      <c r="L2897" s="3">
        <v>0.49652777777777773</v>
      </c>
      <c r="M2897" s="2" t="s">
        <v>722</v>
      </c>
      <c r="N2897" s="2" t="s">
        <v>500</v>
      </c>
      <c r="O2897" s="2"/>
    </row>
    <row r="2898" spans="1:15" x14ac:dyDescent="0.25">
      <c r="A2898" s="2" t="s">
        <v>15</v>
      </c>
      <c r="B2898" s="2" t="str">
        <f>"FES1162771123"</f>
        <v>FES1162771123</v>
      </c>
      <c r="C2898" s="2" t="s">
        <v>1762</v>
      </c>
      <c r="D2898" s="2">
        <v>1</v>
      </c>
      <c r="E2898" s="2" t="str">
        <f>"2170756390"</f>
        <v>2170756390</v>
      </c>
      <c r="F2898" s="2" t="s">
        <v>17</v>
      </c>
      <c r="G2898" s="2" t="s">
        <v>18</v>
      </c>
      <c r="H2898" s="2" t="s">
        <v>25</v>
      </c>
      <c r="I2898" s="2" t="s">
        <v>26</v>
      </c>
      <c r="J2898" s="2" t="s">
        <v>27</v>
      </c>
      <c r="K2898" s="2" t="s">
        <v>1897</v>
      </c>
      <c r="L2898" s="3">
        <v>0.4152777777777778</v>
      </c>
      <c r="M2898" s="2" t="s">
        <v>521</v>
      </c>
      <c r="N2898" s="2" t="s">
        <v>500</v>
      </c>
      <c r="O2898" s="2"/>
    </row>
    <row r="2899" spans="1:15" x14ac:dyDescent="0.25">
      <c r="A2899" s="2" t="s">
        <v>15</v>
      </c>
      <c r="B2899" s="2" t="str">
        <f>"FES1162771165"</f>
        <v>FES1162771165</v>
      </c>
      <c r="C2899" s="2" t="s">
        <v>1762</v>
      </c>
      <c r="D2899" s="2">
        <v>1</v>
      </c>
      <c r="E2899" s="2" t="str">
        <f>"2170754969"</f>
        <v>2170754969</v>
      </c>
      <c r="F2899" s="2" t="s">
        <v>17</v>
      </c>
      <c r="G2899" s="2" t="s">
        <v>18</v>
      </c>
      <c r="H2899" s="2" t="s">
        <v>18</v>
      </c>
      <c r="I2899" s="2" t="s">
        <v>459</v>
      </c>
      <c r="J2899" s="2" t="s">
        <v>460</v>
      </c>
      <c r="K2899" s="2" t="s">
        <v>1969</v>
      </c>
      <c r="L2899" s="3">
        <v>0.6479166666666667</v>
      </c>
      <c r="M2899" s="2" t="s">
        <v>502</v>
      </c>
      <c r="N2899" s="2" t="s">
        <v>500</v>
      </c>
      <c r="O2899" s="2"/>
    </row>
    <row r="2900" spans="1:15" x14ac:dyDescent="0.25">
      <c r="A2900" s="2" t="s">
        <v>15</v>
      </c>
      <c r="B2900" s="2" t="str">
        <f>"FES1162771200"</f>
        <v>FES1162771200</v>
      </c>
      <c r="C2900" s="2" t="s">
        <v>1762</v>
      </c>
      <c r="D2900" s="2">
        <v>1</v>
      </c>
      <c r="E2900" s="2" t="str">
        <f>"2170758248"</f>
        <v>2170758248</v>
      </c>
      <c r="F2900" s="2" t="s">
        <v>17</v>
      </c>
      <c r="G2900" s="2" t="s">
        <v>18</v>
      </c>
      <c r="H2900" s="2" t="s">
        <v>25</v>
      </c>
      <c r="I2900" s="2" t="s">
        <v>26</v>
      </c>
      <c r="J2900" s="2" t="s">
        <v>27</v>
      </c>
      <c r="K2900" s="2" t="s">
        <v>1897</v>
      </c>
      <c r="L2900" s="3">
        <v>0.4152777777777778</v>
      </c>
      <c r="M2900" s="2" t="s">
        <v>521</v>
      </c>
      <c r="N2900" s="2" t="s">
        <v>500</v>
      </c>
      <c r="O2900" s="2"/>
    </row>
    <row r="2901" spans="1:15" x14ac:dyDescent="0.25">
      <c r="A2901" s="2" t="s">
        <v>15</v>
      </c>
      <c r="B2901" s="2" t="str">
        <f>"FES1162771176"</f>
        <v>FES1162771176</v>
      </c>
      <c r="C2901" s="2" t="s">
        <v>1762</v>
      </c>
      <c r="D2901" s="2">
        <v>1</v>
      </c>
      <c r="E2901" s="2" t="str">
        <f>"2170755973"</f>
        <v>2170755973</v>
      </c>
      <c r="F2901" s="2" t="s">
        <v>17</v>
      </c>
      <c r="G2901" s="2" t="s">
        <v>18</v>
      </c>
      <c r="H2901" s="2" t="s">
        <v>25</v>
      </c>
      <c r="I2901" s="2" t="s">
        <v>26</v>
      </c>
      <c r="J2901" s="2" t="s">
        <v>75</v>
      </c>
      <c r="K2901" s="2" t="s">
        <v>1897</v>
      </c>
      <c r="L2901" s="3">
        <v>0.32777777777777778</v>
      </c>
      <c r="M2901" s="2" t="s">
        <v>1329</v>
      </c>
      <c r="N2901" s="2" t="s">
        <v>500</v>
      </c>
      <c r="O2901" s="2"/>
    </row>
    <row r="2902" spans="1:15" x14ac:dyDescent="0.25">
      <c r="A2902" s="2" t="s">
        <v>15</v>
      </c>
      <c r="B2902" s="2" t="str">
        <f>"FES1162771035"</f>
        <v>FES1162771035</v>
      </c>
      <c r="C2902" s="2" t="s">
        <v>1762</v>
      </c>
      <c r="D2902" s="2">
        <v>1</v>
      </c>
      <c r="E2902" s="2" t="str">
        <f>"2170758189"</f>
        <v>2170758189</v>
      </c>
      <c r="F2902" s="2" t="s">
        <v>17</v>
      </c>
      <c r="G2902" s="2" t="s">
        <v>18</v>
      </c>
      <c r="H2902" s="2" t="s">
        <v>18</v>
      </c>
      <c r="I2902" s="2" t="s">
        <v>329</v>
      </c>
      <c r="J2902" s="2" t="s">
        <v>1954</v>
      </c>
      <c r="K2902" s="2" t="s">
        <v>1897</v>
      </c>
      <c r="L2902" s="3">
        <v>0.41666666666666669</v>
      </c>
      <c r="M2902" s="2" t="s">
        <v>861</v>
      </c>
      <c r="N2902" s="2" t="s">
        <v>500</v>
      </c>
      <c r="O2902" s="2"/>
    </row>
    <row r="2903" spans="1:15" x14ac:dyDescent="0.25">
      <c r="A2903" s="2" t="s">
        <v>15</v>
      </c>
      <c r="B2903" s="2" t="str">
        <f>"FES1162771157"</f>
        <v>FES1162771157</v>
      </c>
      <c r="C2903" s="2" t="s">
        <v>1762</v>
      </c>
      <c r="D2903" s="2">
        <v>1</v>
      </c>
      <c r="E2903" s="2" t="str">
        <f>"2170758235"</f>
        <v>2170758235</v>
      </c>
      <c r="F2903" s="2" t="s">
        <v>17</v>
      </c>
      <c r="G2903" s="2" t="s">
        <v>18</v>
      </c>
      <c r="H2903" s="2" t="s">
        <v>25</v>
      </c>
      <c r="I2903" s="2" t="s">
        <v>125</v>
      </c>
      <c r="J2903" s="2" t="s">
        <v>126</v>
      </c>
      <c r="K2903" s="2" t="s">
        <v>1897</v>
      </c>
      <c r="L2903" s="3">
        <v>0.48472222222222222</v>
      </c>
      <c r="M2903" s="2" t="s">
        <v>1189</v>
      </c>
      <c r="N2903" s="2" t="s">
        <v>500</v>
      </c>
      <c r="O2903" s="2"/>
    </row>
    <row r="2904" spans="1:15" x14ac:dyDescent="0.25">
      <c r="A2904" s="2" t="s">
        <v>15</v>
      </c>
      <c r="B2904" s="2" t="str">
        <f>"FES1162771023"</f>
        <v>FES1162771023</v>
      </c>
      <c r="C2904" s="2" t="s">
        <v>1762</v>
      </c>
      <c r="D2904" s="2">
        <v>1</v>
      </c>
      <c r="E2904" s="2" t="str">
        <f>"2170758167"</f>
        <v>2170758167</v>
      </c>
      <c r="F2904" s="2" t="s">
        <v>17</v>
      </c>
      <c r="G2904" s="2" t="s">
        <v>18</v>
      </c>
      <c r="H2904" s="2" t="s">
        <v>36</v>
      </c>
      <c r="I2904" s="2" t="s">
        <v>67</v>
      </c>
      <c r="J2904" s="2" t="s">
        <v>146</v>
      </c>
      <c r="K2904" s="2" t="s">
        <v>1897</v>
      </c>
      <c r="L2904" s="3">
        <v>0.33333333333333331</v>
      </c>
      <c r="M2904" s="2" t="s">
        <v>244</v>
      </c>
      <c r="N2904" s="2" t="s">
        <v>500</v>
      </c>
      <c r="O2904" s="2"/>
    </row>
    <row r="2905" spans="1:15" x14ac:dyDescent="0.25">
      <c r="A2905" s="2" t="s">
        <v>15</v>
      </c>
      <c r="B2905" s="2" t="str">
        <f>"FES1162771260"</f>
        <v>FES1162771260</v>
      </c>
      <c r="C2905" s="2" t="s">
        <v>1762</v>
      </c>
      <c r="D2905" s="2">
        <v>1</v>
      </c>
      <c r="E2905" s="2" t="str">
        <f>"2170753084"</f>
        <v>2170753084</v>
      </c>
      <c r="F2905" s="2" t="s">
        <v>17</v>
      </c>
      <c r="G2905" s="2" t="s">
        <v>18</v>
      </c>
      <c r="H2905" s="2" t="s">
        <v>25</v>
      </c>
      <c r="I2905" s="2" t="s">
        <v>26</v>
      </c>
      <c r="J2905" s="2" t="s">
        <v>70</v>
      </c>
      <c r="K2905" s="2" t="s">
        <v>1897</v>
      </c>
      <c r="L2905" s="3">
        <v>0.48958333333333331</v>
      </c>
      <c r="M2905" s="2" t="s">
        <v>1485</v>
      </c>
      <c r="N2905" s="2" t="s">
        <v>500</v>
      </c>
      <c r="O2905" s="2"/>
    </row>
    <row r="2906" spans="1:15" x14ac:dyDescent="0.25">
      <c r="A2906" s="2" t="s">
        <v>15</v>
      </c>
      <c r="B2906" s="2" t="str">
        <f>"FES1162771147"</f>
        <v>FES1162771147</v>
      </c>
      <c r="C2906" s="2" t="s">
        <v>1762</v>
      </c>
      <c r="D2906" s="2">
        <v>1</v>
      </c>
      <c r="E2906" s="2" t="str">
        <f>"2170757951"</f>
        <v>2170757951</v>
      </c>
      <c r="F2906" s="2" t="s">
        <v>17</v>
      </c>
      <c r="G2906" s="2" t="s">
        <v>18</v>
      </c>
      <c r="H2906" s="2" t="s">
        <v>18</v>
      </c>
      <c r="I2906" s="2" t="s">
        <v>46</v>
      </c>
      <c r="J2906" s="2" t="s">
        <v>139</v>
      </c>
      <c r="K2906" s="2" t="s">
        <v>1897</v>
      </c>
      <c r="L2906" s="3">
        <v>0.30902777777777779</v>
      </c>
      <c r="M2906" s="2" t="s">
        <v>838</v>
      </c>
      <c r="N2906" s="2" t="s">
        <v>500</v>
      </c>
      <c r="O2906" s="2"/>
    </row>
    <row r="2907" spans="1:15" x14ac:dyDescent="0.25">
      <c r="A2907" s="2" t="s">
        <v>15</v>
      </c>
      <c r="B2907" s="2" t="str">
        <f>"FES1162771104"</f>
        <v>FES1162771104</v>
      </c>
      <c r="C2907" s="2" t="s">
        <v>1762</v>
      </c>
      <c r="D2907" s="2">
        <v>1</v>
      </c>
      <c r="E2907" s="2" t="str">
        <f>"2170756250"</f>
        <v>2170756250</v>
      </c>
      <c r="F2907" s="2" t="s">
        <v>17</v>
      </c>
      <c r="G2907" s="2" t="s">
        <v>18</v>
      </c>
      <c r="H2907" s="2" t="s">
        <v>88</v>
      </c>
      <c r="I2907" s="2" t="s">
        <v>109</v>
      </c>
      <c r="J2907" s="2" t="s">
        <v>1637</v>
      </c>
      <c r="K2907" s="2" t="s">
        <v>1897</v>
      </c>
      <c r="L2907" s="3">
        <v>0.38194444444444442</v>
      </c>
      <c r="M2907" s="2" t="s">
        <v>1867</v>
      </c>
      <c r="N2907" s="2" t="s">
        <v>500</v>
      </c>
      <c r="O2907" s="2"/>
    </row>
    <row r="2908" spans="1:15" x14ac:dyDescent="0.25">
      <c r="A2908" s="2" t="s">
        <v>15</v>
      </c>
      <c r="B2908" s="2" t="str">
        <f>"FES1162771244"</f>
        <v>FES1162771244</v>
      </c>
      <c r="C2908" s="2" t="s">
        <v>1762</v>
      </c>
      <c r="D2908" s="2">
        <v>1</v>
      </c>
      <c r="E2908" s="2" t="str">
        <f>"2170758311"</f>
        <v>2170758311</v>
      </c>
      <c r="F2908" s="2" t="s">
        <v>17</v>
      </c>
      <c r="G2908" s="2" t="s">
        <v>18</v>
      </c>
      <c r="H2908" s="2" t="s">
        <v>18</v>
      </c>
      <c r="I2908" s="2" t="s">
        <v>52</v>
      </c>
      <c r="J2908" s="2" t="s">
        <v>776</v>
      </c>
      <c r="K2908" s="2" t="s">
        <v>1897</v>
      </c>
      <c r="L2908" s="3">
        <v>0.35416666666666669</v>
      </c>
      <c r="M2908" s="2" t="s">
        <v>1003</v>
      </c>
      <c r="N2908" s="2" t="s">
        <v>500</v>
      </c>
      <c r="O2908" s="2"/>
    </row>
    <row r="2909" spans="1:15" x14ac:dyDescent="0.25">
      <c r="A2909" s="2" t="s">
        <v>15</v>
      </c>
      <c r="B2909" s="2" t="str">
        <f>"FES1162771255"</f>
        <v>FES1162771255</v>
      </c>
      <c r="C2909" s="2" t="s">
        <v>1762</v>
      </c>
      <c r="D2909" s="2">
        <v>1</v>
      </c>
      <c r="E2909" s="2" t="str">
        <f>"21708322"</f>
        <v>21708322</v>
      </c>
      <c r="F2909" s="2" t="s">
        <v>17</v>
      </c>
      <c r="G2909" s="2" t="s">
        <v>18</v>
      </c>
      <c r="H2909" s="2" t="s">
        <v>33</v>
      </c>
      <c r="I2909" s="2" t="s">
        <v>34</v>
      </c>
      <c r="J2909" s="2" t="s">
        <v>400</v>
      </c>
      <c r="K2909" s="2" t="s">
        <v>1897</v>
      </c>
      <c r="L2909" s="3">
        <v>0.43333333333333335</v>
      </c>
      <c r="M2909" s="2" t="s">
        <v>706</v>
      </c>
      <c r="N2909" s="2" t="s">
        <v>500</v>
      </c>
      <c r="O2909" s="2"/>
    </row>
    <row r="2910" spans="1:15" x14ac:dyDescent="0.25">
      <c r="A2910" s="2" t="s">
        <v>15</v>
      </c>
      <c r="B2910" s="2" t="str">
        <f>"FES1162771101"</f>
        <v>FES1162771101</v>
      </c>
      <c r="C2910" s="2" t="s">
        <v>1762</v>
      </c>
      <c r="D2910" s="2">
        <v>1</v>
      </c>
      <c r="E2910" s="2" t="str">
        <f>"2170756228"</f>
        <v>2170756228</v>
      </c>
      <c r="F2910" s="2" t="s">
        <v>17</v>
      </c>
      <c r="G2910" s="2" t="s">
        <v>18</v>
      </c>
      <c r="H2910" s="2" t="s">
        <v>18</v>
      </c>
      <c r="I2910" s="2" t="s">
        <v>494</v>
      </c>
      <c r="J2910" s="2" t="s">
        <v>495</v>
      </c>
      <c r="K2910" s="2" t="s">
        <v>1897</v>
      </c>
      <c r="L2910" s="3">
        <v>0.59305555555555556</v>
      </c>
      <c r="M2910" s="2" t="s">
        <v>599</v>
      </c>
      <c r="N2910" s="2" t="s">
        <v>500</v>
      </c>
      <c r="O2910" s="2"/>
    </row>
    <row r="2911" spans="1:15" x14ac:dyDescent="0.25">
      <c r="A2911" s="2" t="s">
        <v>15</v>
      </c>
      <c r="B2911" s="2" t="str">
        <f>"FES1162771171"</f>
        <v>FES1162771171</v>
      </c>
      <c r="C2911" s="2" t="s">
        <v>1762</v>
      </c>
      <c r="D2911" s="2">
        <v>1</v>
      </c>
      <c r="E2911" s="2" t="str">
        <f>"2170755841"</f>
        <v>2170755841</v>
      </c>
      <c r="F2911" s="2" t="s">
        <v>17</v>
      </c>
      <c r="G2911" s="2" t="s">
        <v>18</v>
      </c>
      <c r="H2911" s="2" t="s">
        <v>18</v>
      </c>
      <c r="I2911" s="2" t="s">
        <v>46</v>
      </c>
      <c r="J2911" s="2" t="s">
        <v>453</v>
      </c>
      <c r="K2911" s="2" t="s">
        <v>1897</v>
      </c>
      <c r="L2911" s="3">
        <v>0.33333333333333331</v>
      </c>
      <c r="M2911" s="2" t="s">
        <v>2027</v>
      </c>
      <c r="N2911" s="2" t="s">
        <v>500</v>
      </c>
      <c r="O2911" s="2"/>
    </row>
    <row r="2912" spans="1:15" x14ac:dyDescent="0.25">
      <c r="A2912" s="2" t="s">
        <v>15</v>
      </c>
      <c r="B2912" s="2" t="str">
        <f>"FES1162771139"</f>
        <v>FES1162771139</v>
      </c>
      <c r="C2912" s="2" t="s">
        <v>1762</v>
      </c>
      <c r="D2912" s="2">
        <v>1</v>
      </c>
      <c r="E2912" s="2" t="str">
        <f>"2170756774"</f>
        <v>2170756774</v>
      </c>
      <c r="F2912" s="2" t="s">
        <v>17</v>
      </c>
      <c r="G2912" s="2" t="s">
        <v>18</v>
      </c>
      <c r="H2912" s="2" t="s">
        <v>18</v>
      </c>
      <c r="I2912" s="2" t="s">
        <v>290</v>
      </c>
      <c r="J2912" s="2" t="s">
        <v>492</v>
      </c>
      <c r="K2912" s="2" t="s">
        <v>1969</v>
      </c>
      <c r="L2912" s="3">
        <v>0.64930555555555558</v>
      </c>
      <c r="M2912" s="2" t="s">
        <v>502</v>
      </c>
      <c r="N2912" s="2" t="s">
        <v>500</v>
      </c>
      <c r="O2912" s="2"/>
    </row>
    <row r="2913" spans="1:15" x14ac:dyDescent="0.25">
      <c r="A2913" s="2" t="s">
        <v>15</v>
      </c>
      <c r="B2913" s="2" t="str">
        <f>"FES1162771278"</f>
        <v>FES1162771278</v>
      </c>
      <c r="C2913" s="2" t="s">
        <v>1762</v>
      </c>
      <c r="D2913" s="2">
        <v>1</v>
      </c>
      <c r="E2913" s="2" t="str">
        <f>"2170758355"</f>
        <v>2170758355</v>
      </c>
      <c r="F2913" s="2" t="s">
        <v>17</v>
      </c>
      <c r="G2913" s="2" t="s">
        <v>18</v>
      </c>
      <c r="H2913" s="2" t="s">
        <v>25</v>
      </c>
      <c r="I2913" s="2" t="s">
        <v>26</v>
      </c>
      <c r="J2913" s="2" t="s">
        <v>622</v>
      </c>
      <c r="K2913" s="2" t="s">
        <v>1897</v>
      </c>
      <c r="L2913" s="3">
        <v>0.3527777777777778</v>
      </c>
      <c r="M2913" s="2" t="s">
        <v>1157</v>
      </c>
      <c r="N2913" s="2" t="s">
        <v>500</v>
      </c>
      <c r="O2913" s="2"/>
    </row>
    <row r="2914" spans="1:15" x14ac:dyDescent="0.25">
      <c r="A2914" s="2" t="s">
        <v>15</v>
      </c>
      <c r="B2914" s="2" t="str">
        <f>"FES1162771279"</f>
        <v>FES1162771279</v>
      </c>
      <c r="C2914" s="2" t="s">
        <v>1762</v>
      </c>
      <c r="D2914" s="2">
        <v>1</v>
      </c>
      <c r="E2914" s="2" t="str">
        <f>"2170758356"</f>
        <v>2170758356</v>
      </c>
      <c r="F2914" s="2" t="s">
        <v>17</v>
      </c>
      <c r="G2914" s="2" t="s">
        <v>18</v>
      </c>
      <c r="H2914" s="2" t="s">
        <v>25</v>
      </c>
      <c r="I2914" s="2" t="s">
        <v>26</v>
      </c>
      <c r="J2914" s="2" t="s">
        <v>1955</v>
      </c>
      <c r="K2914" s="2" t="s">
        <v>1897</v>
      </c>
      <c r="L2914" s="3">
        <v>0.43055555555555558</v>
      </c>
      <c r="M2914" s="2" t="s">
        <v>2028</v>
      </c>
      <c r="N2914" s="2" t="s">
        <v>500</v>
      </c>
      <c r="O2914" s="2"/>
    </row>
    <row r="2915" spans="1:15" x14ac:dyDescent="0.25">
      <c r="A2915" s="2" t="s">
        <v>15</v>
      </c>
      <c r="B2915" s="2" t="str">
        <f>"FES1162771152"</f>
        <v>FES1162771152</v>
      </c>
      <c r="C2915" s="2" t="s">
        <v>1762</v>
      </c>
      <c r="D2915" s="2">
        <v>1</v>
      </c>
      <c r="E2915" s="2" t="str">
        <f>"2170756793"</f>
        <v>2170756793</v>
      </c>
      <c r="F2915" s="2" t="s">
        <v>17</v>
      </c>
      <c r="G2915" s="2" t="s">
        <v>18</v>
      </c>
      <c r="H2915" s="2" t="s">
        <v>19</v>
      </c>
      <c r="I2915" s="2" t="s">
        <v>20</v>
      </c>
      <c r="J2915" s="2" t="s">
        <v>327</v>
      </c>
      <c r="K2915" s="2" t="s">
        <v>1897</v>
      </c>
      <c r="L2915" s="3">
        <v>0.36041666666666666</v>
      </c>
      <c r="M2915" s="2" t="s">
        <v>2012</v>
      </c>
      <c r="N2915" s="2" t="s">
        <v>500</v>
      </c>
      <c r="O2915" s="2"/>
    </row>
    <row r="2916" spans="1:15" x14ac:dyDescent="0.25">
      <c r="A2916" s="2" t="s">
        <v>15</v>
      </c>
      <c r="B2916" s="2" t="str">
        <f>"FES1162771170"</f>
        <v>FES1162771170</v>
      </c>
      <c r="C2916" s="2" t="s">
        <v>1762</v>
      </c>
      <c r="D2916" s="2">
        <v>1</v>
      </c>
      <c r="E2916" s="2" t="str">
        <f>"2170755783"</f>
        <v>2170755783</v>
      </c>
      <c r="F2916" s="2" t="s">
        <v>17</v>
      </c>
      <c r="G2916" s="2" t="s">
        <v>18</v>
      </c>
      <c r="H2916" s="2" t="s">
        <v>18</v>
      </c>
      <c r="I2916" s="2" t="s">
        <v>459</v>
      </c>
      <c r="J2916" s="2" t="s">
        <v>460</v>
      </c>
      <c r="K2916" s="2" t="s">
        <v>1897</v>
      </c>
      <c r="L2916" s="3">
        <v>0.375</v>
      </c>
      <c r="M2916" s="2" t="s">
        <v>2029</v>
      </c>
      <c r="N2916" s="2" t="s">
        <v>500</v>
      </c>
      <c r="O2916" s="2"/>
    </row>
    <row r="2917" spans="1:15" x14ac:dyDescent="0.25">
      <c r="A2917" s="2" t="s">
        <v>15</v>
      </c>
      <c r="B2917" s="2" t="str">
        <f>"FES1162771112"</f>
        <v>FES1162771112</v>
      </c>
      <c r="C2917" s="2" t="s">
        <v>1762</v>
      </c>
      <c r="D2917" s="2">
        <v>1</v>
      </c>
      <c r="E2917" s="2" t="str">
        <f>"2170756324"</f>
        <v>2170756324</v>
      </c>
      <c r="F2917" s="2" t="s">
        <v>17</v>
      </c>
      <c r="G2917" s="2" t="s">
        <v>18</v>
      </c>
      <c r="H2917" s="2" t="s">
        <v>18</v>
      </c>
      <c r="I2917" s="2" t="s">
        <v>46</v>
      </c>
      <c r="J2917" s="2" t="s">
        <v>1956</v>
      </c>
      <c r="K2917" s="2" t="s">
        <v>1897</v>
      </c>
      <c r="L2917" s="3">
        <v>0.3576388888888889</v>
      </c>
      <c r="M2917" s="2" t="s">
        <v>2030</v>
      </c>
      <c r="N2917" s="2" t="s">
        <v>500</v>
      </c>
      <c r="O2917" s="2"/>
    </row>
    <row r="2918" spans="1:15" x14ac:dyDescent="0.25">
      <c r="A2918" s="2" t="s">
        <v>15</v>
      </c>
      <c r="B2918" s="2" t="str">
        <f>"FES1162771148"</f>
        <v>FES1162771148</v>
      </c>
      <c r="C2918" s="2" t="s">
        <v>1762</v>
      </c>
      <c r="D2918" s="2">
        <v>1</v>
      </c>
      <c r="E2918" s="2" t="str">
        <f>"2170757980"</f>
        <v>2170757980</v>
      </c>
      <c r="F2918" s="2" t="s">
        <v>17</v>
      </c>
      <c r="G2918" s="2" t="s">
        <v>18</v>
      </c>
      <c r="H2918" s="2" t="s">
        <v>88</v>
      </c>
      <c r="I2918" s="2" t="s">
        <v>109</v>
      </c>
      <c r="J2918" s="2" t="s">
        <v>141</v>
      </c>
      <c r="K2918" s="2" t="s">
        <v>1897</v>
      </c>
      <c r="L2918" s="3">
        <v>0.3444444444444445</v>
      </c>
      <c r="M2918" s="2" t="s">
        <v>971</v>
      </c>
      <c r="N2918" s="2" t="s">
        <v>500</v>
      </c>
      <c r="O2918" s="2"/>
    </row>
    <row r="2919" spans="1:15" x14ac:dyDescent="0.25">
      <c r="A2919" s="2" t="s">
        <v>15</v>
      </c>
      <c r="B2919" s="2" t="str">
        <f>"FES1162771235"</f>
        <v>FES1162771235</v>
      </c>
      <c r="C2919" s="2" t="s">
        <v>1762</v>
      </c>
      <c r="D2919" s="2">
        <v>1</v>
      </c>
      <c r="E2919" s="2" t="str">
        <f>"2170758290"</f>
        <v>2170758290</v>
      </c>
      <c r="F2919" s="2" t="s">
        <v>17</v>
      </c>
      <c r="G2919" s="2" t="s">
        <v>18</v>
      </c>
      <c r="H2919" s="2" t="s">
        <v>18</v>
      </c>
      <c r="I2919" s="2" t="s">
        <v>57</v>
      </c>
      <c r="J2919" s="2" t="s">
        <v>58</v>
      </c>
      <c r="K2919" s="2" t="s">
        <v>1897</v>
      </c>
      <c r="L2919" s="3">
        <v>0.43333333333333335</v>
      </c>
      <c r="M2919" s="2" t="s">
        <v>1385</v>
      </c>
      <c r="N2919" s="2" t="s">
        <v>500</v>
      </c>
      <c r="O2919" s="2"/>
    </row>
    <row r="2920" spans="1:15" x14ac:dyDescent="0.25">
      <c r="A2920" s="2" t="s">
        <v>15</v>
      </c>
      <c r="B2920" s="2" t="str">
        <f>"FES1162771268"</f>
        <v>FES1162771268</v>
      </c>
      <c r="C2920" s="2" t="s">
        <v>1762</v>
      </c>
      <c r="D2920" s="2">
        <v>1</v>
      </c>
      <c r="E2920" s="2" t="str">
        <f>"2170758336"</f>
        <v>2170758336</v>
      </c>
      <c r="F2920" s="2" t="s">
        <v>17</v>
      </c>
      <c r="G2920" s="2" t="s">
        <v>18</v>
      </c>
      <c r="H2920" s="2" t="s">
        <v>1034</v>
      </c>
      <c r="I2920" s="2" t="s">
        <v>1957</v>
      </c>
      <c r="J2920" s="2" t="s">
        <v>1958</v>
      </c>
      <c r="K2920" s="2" t="s">
        <v>1897</v>
      </c>
      <c r="L2920" s="3">
        <v>0.47222222222222227</v>
      </c>
      <c r="M2920" s="2" t="s">
        <v>688</v>
      </c>
      <c r="N2920" s="2" t="s">
        <v>500</v>
      </c>
      <c r="O2920" s="2"/>
    </row>
    <row r="2921" spans="1:15" x14ac:dyDescent="0.25">
      <c r="A2921" s="2" t="s">
        <v>15</v>
      </c>
      <c r="B2921" s="2" t="str">
        <f>"FES1162771250"</f>
        <v>FES1162771250</v>
      </c>
      <c r="C2921" s="2" t="s">
        <v>1762</v>
      </c>
      <c r="D2921" s="2">
        <v>1</v>
      </c>
      <c r="E2921" s="2" t="str">
        <f>"2170758316"</f>
        <v>2170758316</v>
      </c>
      <c r="F2921" s="2" t="s">
        <v>17</v>
      </c>
      <c r="G2921" s="2" t="s">
        <v>18</v>
      </c>
      <c r="H2921" s="2" t="s">
        <v>88</v>
      </c>
      <c r="I2921" s="2" t="s">
        <v>109</v>
      </c>
      <c r="J2921" s="2" t="s">
        <v>141</v>
      </c>
      <c r="K2921" s="2" t="s">
        <v>1897</v>
      </c>
      <c r="L2921" s="3">
        <v>0.3444444444444445</v>
      </c>
      <c r="M2921" s="2" t="s">
        <v>1981</v>
      </c>
      <c r="N2921" s="2" t="s">
        <v>500</v>
      </c>
      <c r="O2921" s="2"/>
    </row>
    <row r="2922" spans="1:15" x14ac:dyDescent="0.25">
      <c r="A2922" s="2" t="s">
        <v>15</v>
      </c>
      <c r="B2922" s="2" t="str">
        <f>"FES1162770977"</f>
        <v>FES1162770977</v>
      </c>
      <c r="C2922" s="2" t="s">
        <v>1762</v>
      </c>
      <c r="D2922" s="2">
        <v>1</v>
      </c>
      <c r="E2922" s="2" t="str">
        <f>"2170758115"</f>
        <v>2170758115</v>
      </c>
      <c r="F2922" s="2" t="s">
        <v>17</v>
      </c>
      <c r="G2922" s="2" t="s">
        <v>18</v>
      </c>
      <c r="H2922" s="2" t="s">
        <v>19</v>
      </c>
      <c r="I2922" s="2" t="s">
        <v>20</v>
      </c>
      <c r="J2922" s="2" t="s">
        <v>21</v>
      </c>
      <c r="K2922" s="2" t="s">
        <v>1897</v>
      </c>
      <c r="L2922" s="3">
        <v>0.37361111111111112</v>
      </c>
      <c r="M2922" s="2" t="s">
        <v>682</v>
      </c>
      <c r="N2922" s="2" t="s">
        <v>500</v>
      </c>
      <c r="O2922" s="2"/>
    </row>
    <row r="2923" spans="1:15" x14ac:dyDescent="0.25">
      <c r="A2923" s="2" t="s">
        <v>15</v>
      </c>
      <c r="B2923" s="2" t="str">
        <f>"FES1162771151"</f>
        <v>FES1162771151</v>
      </c>
      <c r="C2923" s="2" t="s">
        <v>1762</v>
      </c>
      <c r="D2923" s="2">
        <v>1</v>
      </c>
      <c r="E2923" s="2" t="str">
        <f>"2170758185"</f>
        <v>2170758185</v>
      </c>
      <c r="F2923" s="2" t="s">
        <v>17</v>
      </c>
      <c r="G2923" s="2" t="s">
        <v>18</v>
      </c>
      <c r="H2923" s="2" t="s">
        <v>18</v>
      </c>
      <c r="I2923" s="2" t="s">
        <v>478</v>
      </c>
      <c r="J2923" s="2" t="s">
        <v>1796</v>
      </c>
      <c r="K2923" s="2" t="s">
        <v>1897</v>
      </c>
      <c r="L2923" s="3">
        <v>0.34027777777777773</v>
      </c>
      <c r="M2923" s="2" t="s">
        <v>1000</v>
      </c>
      <c r="N2923" s="2" t="s">
        <v>500</v>
      </c>
      <c r="O2923" s="2"/>
    </row>
    <row r="2924" spans="1:15" x14ac:dyDescent="0.25">
      <c r="A2924" s="2" t="s">
        <v>15</v>
      </c>
      <c r="B2924" s="2" t="str">
        <f>"FES1162771028"</f>
        <v>FES1162771028</v>
      </c>
      <c r="C2924" s="2" t="s">
        <v>1762</v>
      </c>
      <c r="D2924" s="2">
        <v>1</v>
      </c>
      <c r="E2924" s="2" t="str">
        <f>"2170758175"</f>
        <v>2170758175</v>
      </c>
      <c r="F2924" s="2" t="s">
        <v>17</v>
      </c>
      <c r="G2924" s="2" t="s">
        <v>18</v>
      </c>
      <c r="H2924" s="2" t="s">
        <v>18</v>
      </c>
      <c r="I2924" s="2" t="s">
        <v>57</v>
      </c>
      <c r="J2924" s="2" t="s">
        <v>903</v>
      </c>
      <c r="K2924" s="2" t="s">
        <v>1897</v>
      </c>
      <c r="L2924" s="3">
        <v>0.4375</v>
      </c>
      <c r="M2924" s="2" t="s">
        <v>1842</v>
      </c>
      <c r="N2924" s="2" t="s">
        <v>500</v>
      </c>
      <c r="O2924" s="2"/>
    </row>
    <row r="2925" spans="1:15" x14ac:dyDescent="0.25">
      <c r="A2925" s="2" t="s">
        <v>15</v>
      </c>
      <c r="B2925" s="2" t="str">
        <f>"FES1162770975"</f>
        <v>FES1162770975</v>
      </c>
      <c r="C2925" s="2" t="s">
        <v>1762</v>
      </c>
      <c r="D2925" s="2">
        <v>1</v>
      </c>
      <c r="E2925" s="2" t="str">
        <f>"2170758111"</f>
        <v>2170758111</v>
      </c>
      <c r="F2925" s="2" t="s">
        <v>17</v>
      </c>
      <c r="G2925" s="2" t="s">
        <v>18</v>
      </c>
      <c r="H2925" s="2" t="s">
        <v>19</v>
      </c>
      <c r="I2925" s="2" t="s">
        <v>111</v>
      </c>
      <c r="J2925" s="2" t="s">
        <v>143</v>
      </c>
      <c r="K2925" s="2" t="s">
        <v>1897</v>
      </c>
      <c r="L2925" s="3">
        <v>0.31180555555555556</v>
      </c>
      <c r="M2925" s="2" t="s">
        <v>144</v>
      </c>
      <c r="N2925" s="2" t="s">
        <v>500</v>
      </c>
      <c r="O2925" s="2"/>
    </row>
    <row r="2926" spans="1:15" x14ac:dyDescent="0.25">
      <c r="A2926" s="2" t="s">
        <v>15</v>
      </c>
      <c r="B2926" s="2" t="str">
        <f>"FES1162771248"</f>
        <v>FES1162771248</v>
      </c>
      <c r="C2926" s="2" t="s">
        <v>1762</v>
      </c>
      <c r="D2926" s="2">
        <v>1</v>
      </c>
      <c r="E2926" s="2" t="str">
        <f>"2170758313"</f>
        <v>2170758313</v>
      </c>
      <c r="F2926" s="2" t="s">
        <v>17</v>
      </c>
      <c r="G2926" s="2" t="s">
        <v>18</v>
      </c>
      <c r="H2926" s="2" t="s">
        <v>18</v>
      </c>
      <c r="I2926" s="2" t="s">
        <v>46</v>
      </c>
      <c r="J2926" s="2" t="s">
        <v>1959</v>
      </c>
      <c r="K2926" s="2" t="s">
        <v>1897</v>
      </c>
      <c r="L2926" s="3">
        <v>0.38194444444444442</v>
      </c>
      <c r="M2926" s="2" t="s">
        <v>2031</v>
      </c>
      <c r="N2926" s="2" t="s">
        <v>500</v>
      </c>
      <c r="O2926" s="2"/>
    </row>
    <row r="2927" spans="1:15" x14ac:dyDescent="0.25">
      <c r="A2927" s="2" t="s">
        <v>15</v>
      </c>
      <c r="B2927" s="2" t="str">
        <f>"FES1162771061"</f>
        <v>FES1162771061</v>
      </c>
      <c r="C2927" s="2" t="s">
        <v>1762</v>
      </c>
      <c r="D2927" s="2">
        <v>1</v>
      </c>
      <c r="E2927" s="2" t="str">
        <f>"2170758223"</f>
        <v>2170758223</v>
      </c>
      <c r="F2927" s="2" t="s">
        <v>17</v>
      </c>
      <c r="G2927" s="2" t="s">
        <v>18</v>
      </c>
      <c r="H2927" s="2" t="s">
        <v>18</v>
      </c>
      <c r="I2927" s="2" t="s">
        <v>57</v>
      </c>
      <c r="J2927" s="2" t="s">
        <v>58</v>
      </c>
      <c r="K2927" s="2" t="s">
        <v>1897</v>
      </c>
      <c r="L2927" s="3">
        <v>0.43333333333333335</v>
      </c>
      <c r="M2927" s="2" t="s">
        <v>58</v>
      </c>
      <c r="N2927" s="2" t="s">
        <v>500</v>
      </c>
      <c r="O2927" s="2"/>
    </row>
    <row r="2928" spans="1:15" x14ac:dyDescent="0.25">
      <c r="A2928" s="2" t="s">
        <v>15</v>
      </c>
      <c r="B2928" s="2" t="str">
        <f>"FES1162771113"</f>
        <v>FES1162771113</v>
      </c>
      <c r="C2928" s="2" t="s">
        <v>1762</v>
      </c>
      <c r="D2928" s="2">
        <v>1</v>
      </c>
      <c r="E2928" s="2" t="str">
        <f>"2170756326"</f>
        <v>2170756326</v>
      </c>
      <c r="F2928" s="2" t="s">
        <v>17</v>
      </c>
      <c r="G2928" s="2" t="s">
        <v>18</v>
      </c>
      <c r="H2928" s="2" t="s">
        <v>18</v>
      </c>
      <c r="I2928" s="2" t="s">
        <v>52</v>
      </c>
      <c r="J2928" s="2" t="s">
        <v>466</v>
      </c>
      <c r="K2928" s="2" t="s">
        <v>1897</v>
      </c>
      <c r="L2928" s="3">
        <v>0.40138888888888885</v>
      </c>
      <c r="M2928" s="2" t="s">
        <v>1991</v>
      </c>
      <c r="N2928" s="2" t="s">
        <v>500</v>
      </c>
      <c r="O2928" s="2"/>
    </row>
    <row r="2929" spans="1:15" x14ac:dyDescent="0.25">
      <c r="A2929" s="2" t="s">
        <v>15</v>
      </c>
      <c r="B2929" s="2" t="str">
        <f>"FES1162771229"</f>
        <v>FES1162771229</v>
      </c>
      <c r="C2929" s="2" t="s">
        <v>1762</v>
      </c>
      <c r="D2929" s="2">
        <v>1</v>
      </c>
      <c r="E2929" s="2" t="str">
        <f>"2170758281"</f>
        <v>2170758281</v>
      </c>
      <c r="F2929" s="2" t="s">
        <v>17</v>
      </c>
      <c r="G2929" s="2" t="s">
        <v>18</v>
      </c>
      <c r="H2929" s="2" t="s">
        <v>36</v>
      </c>
      <c r="I2929" s="2" t="s">
        <v>37</v>
      </c>
      <c r="J2929" s="2" t="s">
        <v>1960</v>
      </c>
      <c r="K2929" s="2" t="s">
        <v>1897</v>
      </c>
      <c r="L2929" s="3">
        <v>0.5</v>
      </c>
      <c r="M2929" s="2" t="s">
        <v>690</v>
      </c>
      <c r="N2929" s="2" t="s">
        <v>500</v>
      </c>
      <c r="O2929" s="2"/>
    </row>
    <row r="2930" spans="1:15" x14ac:dyDescent="0.25">
      <c r="A2930" s="2" t="s">
        <v>15</v>
      </c>
      <c r="B2930" s="2" t="str">
        <f>"FES1162771206"</f>
        <v>FES1162771206</v>
      </c>
      <c r="C2930" s="2" t="s">
        <v>1762</v>
      </c>
      <c r="D2930" s="2">
        <v>1</v>
      </c>
      <c r="E2930" s="2" t="str">
        <f>"2170758255"</f>
        <v>2170758255</v>
      </c>
      <c r="F2930" s="2" t="s">
        <v>17</v>
      </c>
      <c r="G2930" s="2" t="s">
        <v>18</v>
      </c>
      <c r="H2930" s="2" t="s">
        <v>25</v>
      </c>
      <c r="I2930" s="2" t="s">
        <v>26</v>
      </c>
      <c r="J2930" s="2" t="s">
        <v>75</v>
      </c>
      <c r="K2930" s="2" t="s">
        <v>1897</v>
      </c>
      <c r="L2930" s="3">
        <v>0.32777777777777778</v>
      </c>
      <c r="M2930" s="2" t="s">
        <v>1329</v>
      </c>
      <c r="N2930" s="2" t="s">
        <v>500</v>
      </c>
      <c r="O2930" s="2"/>
    </row>
    <row r="2931" spans="1:15" x14ac:dyDescent="0.25">
      <c r="A2931" s="2" t="s">
        <v>15</v>
      </c>
      <c r="B2931" s="2" t="str">
        <f>"FES1162768334"</f>
        <v>FES1162768334</v>
      </c>
      <c r="C2931" s="2" t="s">
        <v>1762</v>
      </c>
      <c r="D2931" s="2">
        <v>2</v>
      </c>
      <c r="E2931" s="2" t="str">
        <f>"2170747895"</f>
        <v>2170747895</v>
      </c>
      <c r="F2931" s="2" t="s">
        <v>205</v>
      </c>
      <c r="G2931" s="2" t="s">
        <v>206</v>
      </c>
      <c r="H2931" s="2" t="s">
        <v>1303</v>
      </c>
      <c r="I2931" s="2" t="s">
        <v>82</v>
      </c>
      <c r="J2931" s="2" t="s">
        <v>83</v>
      </c>
      <c r="K2931" s="2" t="s">
        <v>1897</v>
      </c>
      <c r="L2931" s="3">
        <v>0.4375</v>
      </c>
      <c r="M2931" s="2" t="s">
        <v>2032</v>
      </c>
      <c r="N2931" s="2" t="s">
        <v>500</v>
      </c>
      <c r="O2931" s="2"/>
    </row>
    <row r="2932" spans="1:15" x14ac:dyDescent="0.25">
      <c r="A2932" s="2" t="s">
        <v>15</v>
      </c>
      <c r="B2932" s="2" t="str">
        <f>"FES1162770728"</f>
        <v>FES1162770728</v>
      </c>
      <c r="C2932" s="2" t="s">
        <v>1762</v>
      </c>
      <c r="D2932" s="2">
        <v>1</v>
      </c>
      <c r="E2932" s="2" t="str">
        <f>"2170756020"</f>
        <v>2170756020</v>
      </c>
      <c r="F2932" s="2" t="s">
        <v>17</v>
      </c>
      <c r="G2932" s="2" t="s">
        <v>18</v>
      </c>
      <c r="H2932" s="2" t="s">
        <v>36</v>
      </c>
      <c r="I2932" s="2" t="s">
        <v>37</v>
      </c>
      <c r="J2932" s="2" t="s">
        <v>41</v>
      </c>
      <c r="K2932" s="2" t="s">
        <v>1897</v>
      </c>
      <c r="L2932" s="3">
        <v>0.36874999999999997</v>
      </c>
      <c r="M2932" s="2" t="s">
        <v>2022</v>
      </c>
      <c r="N2932" s="2" t="s">
        <v>500</v>
      </c>
      <c r="O2932" s="2"/>
    </row>
    <row r="2933" spans="1:15" x14ac:dyDescent="0.25">
      <c r="A2933" s="2" t="s">
        <v>15</v>
      </c>
      <c r="B2933" s="2" t="str">
        <f>"FES1162771274"</f>
        <v>FES1162771274</v>
      </c>
      <c r="C2933" s="2" t="s">
        <v>1762</v>
      </c>
      <c r="D2933" s="2">
        <v>1</v>
      </c>
      <c r="E2933" s="2" t="str">
        <f>"2170758117"</f>
        <v>2170758117</v>
      </c>
      <c r="F2933" s="2" t="s">
        <v>17</v>
      </c>
      <c r="G2933" s="2" t="s">
        <v>18</v>
      </c>
      <c r="H2933" s="2" t="s">
        <v>18</v>
      </c>
      <c r="I2933" s="2" t="s">
        <v>50</v>
      </c>
      <c r="J2933" s="2" t="s">
        <v>1961</v>
      </c>
      <c r="K2933" s="2" t="s">
        <v>1897</v>
      </c>
      <c r="L2933" s="3">
        <v>0.37152777777777773</v>
      </c>
      <c r="M2933" s="2" t="s">
        <v>2033</v>
      </c>
      <c r="N2933" s="2" t="s">
        <v>500</v>
      </c>
      <c r="O2933" s="2"/>
    </row>
    <row r="2934" spans="1:15" x14ac:dyDescent="0.25">
      <c r="A2934" s="2" t="s">
        <v>15</v>
      </c>
      <c r="B2934" s="2" t="str">
        <f>"FES1162771277"</f>
        <v>FES1162771277</v>
      </c>
      <c r="C2934" s="2" t="s">
        <v>1762</v>
      </c>
      <c r="D2934" s="2">
        <v>1</v>
      </c>
      <c r="E2934" s="2" t="str">
        <f>"2170758352"</f>
        <v>2170758352</v>
      </c>
      <c r="F2934" s="2" t="s">
        <v>17</v>
      </c>
      <c r="G2934" s="2" t="s">
        <v>18</v>
      </c>
      <c r="H2934" s="2" t="s">
        <v>25</v>
      </c>
      <c r="I2934" s="2" t="s">
        <v>26</v>
      </c>
      <c r="J2934" s="2" t="s">
        <v>1020</v>
      </c>
      <c r="K2934" s="2" t="s">
        <v>1897</v>
      </c>
      <c r="L2934" s="3">
        <v>0.40138888888888885</v>
      </c>
      <c r="M2934" s="2" t="s">
        <v>1334</v>
      </c>
      <c r="N2934" s="2" t="s">
        <v>500</v>
      </c>
      <c r="O2934" s="2"/>
    </row>
    <row r="2935" spans="1:15" x14ac:dyDescent="0.25">
      <c r="A2935" s="2" t="s">
        <v>15</v>
      </c>
      <c r="B2935" s="2" t="str">
        <f>"FES1162771246"</f>
        <v>FES1162771246</v>
      </c>
      <c r="C2935" s="2" t="s">
        <v>1762</v>
      </c>
      <c r="D2935" s="2">
        <v>1</v>
      </c>
      <c r="E2935" s="2" t="str">
        <f>"2170758307"</f>
        <v>2170758307</v>
      </c>
      <c r="F2935" s="2" t="s">
        <v>17</v>
      </c>
      <c r="G2935" s="2" t="s">
        <v>18</v>
      </c>
      <c r="H2935" s="2" t="s">
        <v>36</v>
      </c>
      <c r="I2935" s="2" t="s">
        <v>37</v>
      </c>
      <c r="J2935" s="2" t="s">
        <v>378</v>
      </c>
      <c r="K2935" s="2" t="s">
        <v>1897</v>
      </c>
      <c r="L2935" s="3">
        <v>0.4236111111111111</v>
      </c>
      <c r="M2935" s="2" t="s">
        <v>379</v>
      </c>
      <c r="N2935" s="2" t="s">
        <v>500</v>
      </c>
      <c r="O2935" s="2"/>
    </row>
    <row r="2936" spans="1:15" x14ac:dyDescent="0.25">
      <c r="A2936" s="2" t="s">
        <v>15</v>
      </c>
      <c r="B2936" s="2" t="str">
        <f>"FES1162771245"</f>
        <v>FES1162771245</v>
      </c>
      <c r="C2936" s="2" t="s">
        <v>1762</v>
      </c>
      <c r="D2936" s="2">
        <v>1</v>
      </c>
      <c r="E2936" s="2" t="str">
        <f>"2170758305"</f>
        <v>2170758305</v>
      </c>
      <c r="F2936" s="2" t="s">
        <v>17</v>
      </c>
      <c r="G2936" s="2" t="s">
        <v>18</v>
      </c>
      <c r="H2936" s="2" t="s">
        <v>19</v>
      </c>
      <c r="I2936" s="2" t="s">
        <v>269</v>
      </c>
      <c r="J2936" s="2" t="s">
        <v>655</v>
      </c>
      <c r="K2936" s="2" t="s">
        <v>1897</v>
      </c>
      <c r="L2936" s="3">
        <v>0.36944444444444446</v>
      </c>
      <c r="M2936" s="2" t="s">
        <v>2002</v>
      </c>
      <c r="N2936" s="2" t="s">
        <v>500</v>
      </c>
      <c r="O2936" s="2"/>
    </row>
    <row r="2937" spans="1:15" x14ac:dyDescent="0.25">
      <c r="A2937" s="2" t="s">
        <v>15</v>
      </c>
      <c r="B2937" s="2" t="str">
        <f>"FES1162771247"</f>
        <v>FES1162771247</v>
      </c>
      <c r="C2937" s="2" t="s">
        <v>1762</v>
      </c>
      <c r="D2937" s="2">
        <v>1</v>
      </c>
      <c r="E2937" s="2" t="str">
        <f>"2170758310"</f>
        <v>2170758310</v>
      </c>
      <c r="F2937" s="2" t="s">
        <v>17</v>
      </c>
      <c r="G2937" s="2" t="s">
        <v>18</v>
      </c>
      <c r="H2937" s="2" t="s">
        <v>36</v>
      </c>
      <c r="I2937" s="2" t="s">
        <v>37</v>
      </c>
      <c r="J2937" s="2" t="s">
        <v>378</v>
      </c>
      <c r="K2937" s="2" t="s">
        <v>1897</v>
      </c>
      <c r="L2937" s="3">
        <v>0.4236111111111111</v>
      </c>
      <c r="M2937" s="2" t="s">
        <v>379</v>
      </c>
      <c r="N2937" s="2" t="s">
        <v>500</v>
      </c>
      <c r="O2937" s="2"/>
    </row>
    <row r="2938" spans="1:15" x14ac:dyDescent="0.25">
      <c r="A2938" s="2" t="s">
        <v>15</v>
      </c>
      <c r="B2938" s="2" t="str">
        <f>"FES1162771315"</f>
        <v>FES1162771315</v>
      </c>
      <c r="C2938" s="2" t="s">
        <v>1897</v>
      </c>
      <c r="D2938" s="2">
        <v>1</v>
      </c>
      <c r="E2938" s="2" t="str">
        <f>"2170758367"</f>
        <v>2170758367</v>
      </c>
      <c r="F2938" s="2" t="s">
        <v>17</v>
      </c>
      <c r="G2938" s="2" t="s">
        <v>18</v>
      </c>
      <c r="H2938" s="2" t="s">
        <v>36</v>
      </c>
      <c r="I2938" s="2" t="s">
        <v>37</v>
      </c>
      <c r="J2938" s="2" t="s">
        <v>467</v>
      </c>
      <c r="K2938" s="2" t="s">
        <v>1969</v>
      </c>
      <c r="L2938" s="3">
        <v>0.33888888888888885</v>
      </c>
      <c r="M2938" s="2" t="s">
        <v>2077</v>
      </c>
      <c r="N2938" s="2" t="s">
        <v>500</v>
      </c>
      <c r="O2938" s="2"/>
    </row>
    <row r="2939" spans="1:15" x14ac:dyDescent="0.25">
      <c r="A2939" s="2" t="s">
        <v>15</v>
      </c>
      <c r="B2939" s="2" t="str">
        <f>"FES1162771364"</f>
        <v>FES1162771364</v>
      </c>
      <c r="C2939" s="2" t="s">
        <v>1897</v>
      </c>
      <c r="D2939" s="2">
        <v>1</v>
      </c>
      <c r="E2939" s="2" t="str">
        <f>"2170755759"</f>
        <v>2170755759</v>
      </c>
      <c r="F2939" s="2" t="s">
        <v>17</v>
      </c>
      <c r="G2939" s="2" t="s">
        <v>18</v>
      </c>
      <c r="H2939" s="2" t="s">
        <v>36</v>
      </c>
      <c r="I2939" s="2" t="s">
        <v>37</v>
      </c>
      <c r="J2939" s="2" t="s">
        <v>403</v>
      </c>
      <c r="K2939" s="2" t="s">
        <v>1969</v>
      </c>
      <c r="L2939" s="3">
        <v>0.40763888888888888</v>
      </c>
      <c r="M2939" s="2" t="s">
        <v>350</v>
      </c>
      <c r="N2939" s="2" t="s">
        <v>500</v>
      </c>
      <c r="O2939" s="2"/>
    </row>
    <row r="2940" spans="1:15" x14ac:dyDescent="0.25">
      <c r="A2940" s="2" t="s">
        <v>15</v>
      </c>
      <c r="B2940" s="2" t="str">
        <f>"FES1162771386"</f>
        <v>FES1162771386</v>
      </c>
      <c r="C2940" s="2" t="s">
        <v>1897</v>
      </c>
      <c r="D2940" s="2">
        <v>1</v>
      </c>
      <c r="E2940" s="2" t="str">
        <f>"2170758179"</f>
        <v>2170758179</v>
      </c>
      <c r="F2940" s="2" t="s">
        <v>17</v>
      </c>
      <c r="G2940" s="2" t="s">
        <v>18</v>
      </c>
      <c r="H2940" s="2" t="s">
        <v>36</v>
      </c>
      <c r="I2940" s="2" t="s">
        <v>67</v>
      </c>
      <c r="J2940" s="2" t="s">
        <v>72</v>
      </c>
      <c r="K2940" s="2" t="s">
        <v>1969</v>
      </c>
      <c r="L2940" s="3">
        <v>0.35069444444444442</v>
      </c>
      <c r="M2940" s="2" t="s">
        <v>194</v>
      </c>
      <c r="N2940" s="2" t="s">
        <v>500</v>
      </c>
      <c r="O2940" s="2"/>
    </row>
    <row r="2941" spans="1:15" x14ac:dyDescent="0.25">
      <c r="A2941" s="2" t="s">
        <v>15</v>
      </c>
      <c r="B2941" s="2" t="str">
        <f>"FES1162771428"</f>
        <v>FES1162771428</v>
      </c>
      <c r="C2941" s="2" t="s">
        <v>1897</v>
      </c>
      <c r="D2941" s="2">
        <v>1</v>
      </c>
      <c r="E2941" s="2" t="str">
        <f>"2170758465"</f>
        <v>2170758465</v>
      </c>
      <c r="F2941" s="2" t="s">
        <v>17</v>
      </c>
      <c r="G2941" s="2" t="s">
        <v>18</v>
      </c>
      <c r="H2941" s="2" t="s">
        <v>25</v>
      </c>
      <c r="I2941" s="2" t="s">
        <v>26</v>
      </c>
      <c r="J2941" s="2" t="s">
        <v>100</v>
      </c>
      <c r="K2941" s="2" t="s">
        <v>1969</v>
      </c>
      <c r="L2941" s="3">
        <v>0.3430555555555555</v>
      </c>
      <c r="M2941" s="2" t="s">
        <v>935</v>
      </c>
      <c r="N2941" s="2" t="s">
        <v>500</v>
      </c>
      <c r="O2941" s="2"/>
    </row>
    <row r="2942" spans="1:15" x14ac:dyDescent="0.25">
      <c r="A2942" s="2" t="s">
        <v>15</v>
      </c>
      <c r="B2942" s="2" t="str">
        <f>"FES1162771126"</f>
        <v>FES1162771126</v>
      </c>
      <c r="C2942" s="2" t="s">
        <v>1897</v>
      </c>
      <c r="D2942" s="2">
        <v>1</v>
      </c>
      <c r="E2942" s="2" t="str">
        <f>"2170756410"</f>
        <v>2170756410</v>
      </c>
      <c r="F2942" s="2" t="s">
        <v>17</v>
      </c>
      <c r="G2942" s="2" t="s">
        <v>18</v>
      </c>
      <c r="H2942" s="2" t="s">
        <v>19</v>
      </c>
      <c r="I2942" s="2" t="s">
        <v>20</v>
      </c>
      <c r="J2942" s="2" t="s">
        <v>21</v>
      </c>
      <c r="K2942" s="2" t="s">
        <v>1969</v>
      </c>
      <c r="L2942" s="3">
        <v>0.40069444444444446</v>
      </c>
      <c r="M2942" s="2" t="s">
        <v>2078</v>
      </c>
      <c r="N2942" s="2" t="s">
        <v>500</v>
      </c>
      <c r="O2942" s="2"/>
    </row>
    <row r="2943" spans="1:15" x14ac:dyDescent="0.25">
      <c r="A2943" s="2" t="s">
        <v>15</v>
      </c>
      <c r="B2943" s="2" t="str">
        <f>"FES1162771213"</f>
        <v>FES1162771213</v>
      </c>
      <c r="C2943" s="2" t="s">
        <v>1897</v>
      </c>
      <c r="D2943" s="2">
        <v>1</v>
      </c>
      <c r="E2943" s="2" t="str">
        <f>"2170758266"</f>
        <v>2170758266</v>
      </c>
      <c r="F2943" s="2" t="s">
        <v>17</v>
      </c>
      <c r="G2943" s="2" t="s">
        <v>18</v>
      </c>
      <c r="H2943" s="2" t="s">
        <v>19</v>
      </c>
      <c r="I2943" s="2" t="s">
        <v>269</v>
      </c>
      <c r="J2943" s="2" t="s">
        <v>655</v>
      </c>
      <c r="K2943" s="2" t="s">
        <v>1969</v>
      </c>
      <c r="L2943" s="3">
        <v>0.36805555555555558</v>
      </c>
      <c r="M2943" s="2" t="s">
        <v>2079</v>
      </c>
      <c r="N2943" s="2" t="s">
        <v>500</v>
      </c>
      <c r="O2943" s="2"/>
    </row>
    <row r="2944" spans="1:15" x14ac:dyDescent="0.25">
      <c r="A2944" s="2" t="s">
        <v>15</v>
      </c>
      <c r="B2944" s="2" t="str">
        <f>"FES1162771207"</f>
        <v>FES1162771207</v>
      </c>
      <c r="C2944" s="2" t="s">
        <v>1897</v>
      </c>
      <c r="D2944" s="2">
        <v>1</v>
      </c>
      <c r="E2944" s="2" t="str">
        <f>"2170758256"</f>
        <v>2170758256</v>
      </c>
      <c r="F2944" s="2" t="s">
        <v>17</v>
      </c>
      <c r="G2944" s="2" t="s">
        <v>18</v>
      </c>
      <c r="H2944" s="2" t="s">
        <v>78</v>
      </c>
      <c r="I2944" s="2" t="s">
        <v>79</v>
      </c>
      <c r="J2944" s="2" t="s">
        <v>118</v>
      </c>
      <c r="K2944" s="2" t="s">
        <v>1969</v>
      </c>
      <c r="L2944" s="3">
        <v>0.40625</v>
      </c>
      <c r="M2944" s="2" t="s">
        <v>708</v>
      </c>
      <c r="N2944" s="2" t="s">
        <v>500</v>
      </c>
      <c r="O2944" s="2"/>
    </row>
    <row r="2945" spans="1:15" x14ac:dyDescent="0.25">
      <c r="A2945" s="2" t="s">
        <v>15</v>
      </c>
      <c r="B2945" s="2" t="str">
        <f>"FES1162771262"</f>
        <v>FES1162771262</v>
      </c>
      <c r="C2945" s="2" t="s">
        <v>1897</v>
      </c>
      <c r="D2945" s="2">
        <v>1</v>
      </c>
      <c r="E2945" s="2" t="str">
        <f>"2170758301"</f>
        <v>2170758301</v>
      </c>
      <c r="F2945" s="2" t="s">
        <v>205</v>
      </c>
      <c r="G2945" s="2" t="s">
        <v>206</v>
      </c>
      <c r="H2945" s="2" t="s">
        <v>1116</v>
      </c>
      <c r="I2945" s="2" t="s">
        <v>109</v>
      </c>
      <c r="J2945" s="2" t="s">
        <v>155</v>
      </c>
      <c r="K2945" s="2" t="s">
        <v>1969</v>
      </c>
      <c r="L2945" s="3">
        <v>0.38194444444444442</v>
      </c>
      <c r="M2945" s="2" t="s">
        <v>251</v>
      </c>
      <c r="N2945" s="2" t="s">
        <v>500</v>
      </c>
      <c r="O2945" s="2"/>
    </row>
    <row r="2946" spans="1:15" x14ac:dyDescent="0.25">
      <c r="A2946" s="2" t="s">
        <v>15</v>
      </c>
      <c r="B2946" s="2" t="str">
        <f>"FES1162771105"</f>
        <v>FES1162771105</v>
      </c>
      <c r="C2946" s="2" t="s">
        <v>1897</v>
      </c>
      <c r="D2946" s="2">
        <v>2</v>
      </c>
      <c r="E2946" s="2" t="str">
        <f>"2170756259"</f>
        <v>2170756259</v>
      </c>
      <c r="F2946" s="2" t="s">
        <v>17</v>
      </c>
      <c r="G2946" s="2" t="s">
        <v>18</v>
      </c>
      <c r="H2946" s="2" t="s">
        <v>1406</v>
      </c>
      <c r="I2946" s="2" t="s">
        <v>2034</v>
      </c>
      <c r="J2946" s="2" t="s">
        <v>2035</v>
      </c>
      <c r="K2946" s="2" t="s">
        <v>1969</v>
      </c>
      <c r="L2946" s="3">
        <v>0.54166666666666663</v>
      </c>
      <c r="M2946" s="2" t="s">
        <v>2158</v>
      </c>
      <c r="N2946" s="2" t="s">
        <v>500</v>
      </c>
      <c r="O2946" s="2"/>
    </row>
    <row r="2947" spans="1:15" x14ac:dyDescent="0.25">
      <c r="A2947" s="2" t="s">
        <v>15</v>
      </c>
      <c r="B2947" s="2" t="str">
        <f>"FES1162771216"</f>
        <v>FES1162771216</v>
      </c>
      <c r="C2947" s="2" t="s">
        <v>1897</v>
      </c>
      <c r="D2947" s="2">
        <v>1</v>
      </c>
      <c r="E2947" s="2" t="str">
        <f>"2170758273"</f>
        <v>2170758273</v>
      </c>
      <c r="F2947" s="2" t="s">
        <v>17</v>
      </c>
      <c r="G2947" s="2" t="s">
        <v>18</v>
      </c>
      <c r="H2947" s="2" t="s">
        <v>88</v>
      </c>
      <c r="I2947" s="2" t="s">
        <v>109</v>
      </c>
      <c r="J2947" s="2" t="s">
        <v>1409</v>
      </c>
      <c r="K2947" s="2" t="s">
        <v>1969</v>
      </c>
      <c r="L2947" s="3">
        <v>0.3972222222222222</v>
      </c>
      <c r="M2947" s="2" t="s">
        <v>2080</v>
      </c>
      <c r="N2947" s="2" t="s">
        <v>500</v>
      </c>
      <c r="O2947" s="2"/>
    </row>
    <row r="2948" spans="1:15" x14ac:dyDescent="0.25">
      <c r="A2948" s="2" t="s">
        <v>15</v>
      </c>
      <c r="B2948" s="2" t="str">
        <f>"FES1162771340"</f>
        <v>FES1162771340</v>
      </c>
      <c r="C2948" s="2" t="s">
        <v>1897</v>
      </c>
      <c r="D2948" s="2">
        <v>1</v>
      </c>
      <c r="E2948" s="2" t="str">
        <f>"2170755825"</f>
        <v>2170755825</v>
      </c>
      <c r="F2948" s="2" t="s">
        <v>17</v>
      </c>
      <c r="G2948" s="2" t="s">
        <v>18</v>
      </c>
      <c r="H2948" s="2" t="s">
        <v>25</v>
      </c>
      <c r="I2948" s="2" t="s">
        <v>42</v>
      </c>
      <c r="J2948" s="2" t="s">
        <v>416</v>
      </c>
      <c r="K2948" s="2" t="s">
        <v>1969</v>
      </c>
      <c r="L2948" s="3">
        <v>0.48888888888888887</v>
      </c>
      <c r="M2948" s="2" t="s">
        <v>688</v>
      </c>
      <c r="N2948" s="2" t="s">
        <v>500</v>
      </c>
      <c r="O2948" s="2"/>
    </row>
    <row r="2949" spans="1:15" x14ac:dyDescent="0.25">
      <c r="A2949" s="2" t="s">
        <v>15</v>
      </c>
      <c r="B2949" s="2" t="str">
        <f>"FES1162771397"</f>
        <v>FES1162771397</v>
      </c>
      <c r="C2949" s="2" t="s">
        <v>1897</v>
      </c>
      <c r="D2949" s="2">
        <v>1</v>
      </c>
      <c r="E2949" s="2" t="str">
        <f>"2170758419"</f>
        <v>2170758419</v>
      </c>
      <c r="F2949" s="2" t="s">
        <v>17</v>
      </c>
      <c r="G2949" s="2" t="s">
        <v>18</v>
      </c>
      <c r="H2949" s="2" t="s">
        <v>25</v>
      </c>
      <c r="I2949" s="2" t="s">
        <v>26</v>
      </c>
      <c r="J2949" s="2" t="s">
        <v>2036</v>
      </c>
      <c r="K2949" s="2" t="s">
        <v>1969</v>
      </c>
      <c r="L2949" s="3">
        <v>0.34930555555555554</v>
      </c>
      <c r="M2949" s="2" t="s">
        <v>2081</v>
      </c>
      <c r="N2949" s="2" t="s">
        <v>500</v>
      </c>
      <c r="O2949" s="2"/>
    </row>
    <row r="2950" spans="1:15" x14ac:dyDescent="0.25">
      <c r="A2950" s="2" t="s">
        <v>15</v>
      </c>
      <c r="B2950" s="2" t="str">
        <f>"FES1162771336"</f>
        <v>FES1162771336</v>
      </c>
      <c r="C2950" s="2" t="s">
        <v>1897</v>
      </c>
      <c r="D2950" s="2">
        <v>1</v>
      </c>
      <c r="E2950" s="2" t="str">
        <f>"2170756600"</f>
        <v>2170756600</v>
      </c>
      <c r="F2950" s="2" t="s">
        <v>17</v>
      </c>
      <c r="G2950" s="2" t="s">
        <v>18</v>
      </c>
      <c r="H2950" s="2" t="s">
        <v>88</v>
      </c>
      <c r="I2950" s="2" t="s">
        <v>109</v>
      </c>
      <c r="J2950" s="2" t="s">
        <v>2037</v>
      </c>
      <c r="K2950" s="2" t="s">
        <v>1969</v>
      </c>
      <c r="L2950" s="3">
        <v>0.39583333333333331</v>
      </c>
      <c r="M2950" s="2" t="s">
        <v>2082</v>
      </c>
      <c r="N2950" s="2" t="s">
        <v>500</v>
      </c>
      <c r="O2950" s="2"/>
    </row>
    <row r="2951" spans="1:15" x14ac:dyDescent="0.25">
      <c r="A2951" s="2" t="s">
        <v>15</v>
      </c>
      <c r="B2951" s="2" t="str">
        <f>"FES1162771339"</f>
        <v>FES1162771339</v>
      </c>
      <c r="C2951" s="2" t="s">
        <v>1897</v>
      </c>
      <c r="D2951" s="2">
        <v>1</v>
      </c>
      <c r="E2951" s="2" t="str">
        <f>"2170755205"</f>
        <v>2170755205</v>
      </c>
      <c r="F2951" s="2" t="s">
        <v>17</v>
      </c>
      <c r="G2951" s="2" t="s">
        <v>18</v>
      </c>
      <c r="H2951" s="2" t="s">
        <v>25</v>
      </c>
      <c r="I2951" s="2" t="s">
        <v>26</v>
      </c>
      <c r="J2951" s="2" t="s">
        <v>474</v>
      </c>
      <c r="K2951" s="2" t="s">
        <v>1969</v>
      </c>
      <c r="L2951" s="3">
        <v>0.41666666666666669</v>
      </c>
      <c r="M2951" s="2" t="s">
        <v>1168</v>
      </c>
      <c r="N2951" s="2" t="s">
        <v>500</v>
      </c>
      <c r="O2951" s="2"/>
    </row>
    <row r="2952" spans="1:15" x14ac:dyDescent="0.25">
      <c r="A2952" s="2" t="s">
        <v>15</v>
      </c>
      <c r="B2952" s="2" t="str">
        <f>"FES1162771218"</f>
        <v>FES1162771218</v>
      </c>
      <c r="C2952" s="2" t="s">
        <v>1897</v>
      </c>
      <c r="D2952" s="2">
        <v>1</v>
      </c>
      <c r="E2952" s="2" t="str">
        <f>"2170755721"</f>
        <v>2170755721</v>
      </c>
      <c r="F2952" s="2" t="s">
        <v>17</v>
      </c>
      <c r="G2952" s="2" t="s">
        <v>18</v>
      </c>
      <c r="H2952" s="2" t="s">
        <v>36</v>
      </c>
      <c r="I2952" s="2" t="s">
        <v>37</v>
      </c>
      <c r="J2952" s="2" t="s">
        <v>2038</v>
      </c>
      <c r="K2952" s="2" t="s">
        <v>1969</v>
      </c>
      <c r="L2952" s="3">
        <v>0.41319444444444442</v>
      </c>
      <c r="M2952" s="2" t="s">
        <v>1575</v>
      </c>
      <c r="N2952" s="2" t="s">
        <v>500</v>
      </c>
      <c r="O2952" s="2"/>
    </row>
    <row r="2953" spans="1:15" x14ac:dyDescent="0.25">
      <c r="A2953" s="2" t="s">
        <v>15</v>
      </c>
      <c r="B2953" s="2" t="str">
        <f>"FES1162771267"</f>
        <v>FES1162771267</v>
      </c>
      <c r="C2953" s="2" t="s">
        <v>1897</v>
      </c>
      <c r="D2953" s="2">
        <v>1</v>
      </c>
      <c r="E2953" s="2" t="str">
        <f>"2170758335"</f>
        <v>2170758335</v>
      </c>
      <c r="F2953" s="2" t="s">
        <v>17</v>
      </c>
      <c r="G2953" s="2" t="s">
        <v>18</v>
      </c>
      <c r="H2953" s="2" t="s">
        <v>36</v>
      </c>
      <c r="I2953" s="2" t="s">
        <v>37</v>
      </c>
      <c r="J2953" s="2" t="s">
        <v>55</v>
      </c>
      <c r="K2953" s="2" t="s">
        <v>1969</v>
      </c>
      <c r="L2953" s="3">
        <v>0.3979166666666667</v>
      </c>
      <c r="M2953" s="2" t="s">
        <v>56</v>
      </c>
      <c r="N2953" s="2" t="s">
        <v>500</v>
      </c>
      <c r="O2953" s="2"/>
    </row>
    <row r="2954" spans="1:15" x14ac:dyDescent="0.25">
      <c r="A2954" s="2" t="s">
        <v>15</v>
      </c>
      <c r="B2954" s="2" t="str">
        <f>"FES1162771308"</f>
        <v>FES1162771308</v>
      </c>
      <c r="C2954" s="2" t="s">
        <v>1897</v>
      </c>
      <c r="D2954" s="2">
        <v>1</v>
      </c>
      <c r="E2954" s="2" t="str">
        <f>"2170758353"</f>
        <v>2170758353</v>
      </c>
      <c r="F2954" s="2" t="s">
        <v>17</v>
      </c>
      <c r="G2954" s="2" t="s">
        <v>18</v>
      </c>
      <c r="H2954" s="2" t="s">
        <v>25</v>
      </c>
      <c r="I2954" s="2" t="s">
        <v>345</v>
      </c>
      <c r="J2954" s="2" t="s">
        <v>346</v>
      </c>
      <c r="K2954" s="2" t="s">
        <v>2138</v>
      </c>
      <c r="L2954" s="3">
        <v>0.34791666666666665</v>
      </c>
      <c r="M2954" s="2" t="s">
        <v>2159</v>
      </c>
      <c r="N2954" s="2" t="s">
        <v>500</v>
      </c>
      <c r="O2954" s="2"/>
    </row>
    <row r="2955" spans="1:15" x14ac:dyDescent="0.25">
      <c r="A2955" s="2" t="s">
        <v>15</v>
      </c>
      <c r="B2955" s="2" t="str">
        <f>"FES1162771349"</f>
        <v>FES1162771349</v>
      </c>
      <c r="C2955" s="2" t="s">
        <v>1897</v>
      </c>
      <c r="D2955" s="2">
        <v>1</v>
      </c>
      <c r="E2955" s="2" t="str">
        <f>"2170758404"</f>
        <v>2170758404</v>
      </c>
      <c r="F2955" s="2" t="s">
        <v>17</v>
      </c>
      <c r="G2955" s="2" t="s">
        <v>18</v>
      </c>
      <c r="H2955" s="2" t="s">
        <v>25</v>
      </c>
      <c r="I2955" s="2" t="s">
        <v>26</v>
      </c>
      <c r="J2955" s="2" t="s">
        <v>757</v>
      </c>
      <c r="K2955" s="2" t="s">
        <v>1969</v>
      </c>
      <c r="L2955" s="3">
        <v>0.34097222222222223</v>
      </c>
      <c r="M2955" s="2" t="s">
        <v>758</v>
      </c>
      <c r="N2955" s="2" t="s">
        <v>500</v>
      </c>
      <c r="O2955" s="2"/>
    </row>
    <row r="2956" spans="1:15" x14ac:dyDescent="0.25">
      <c r="A2956" s="2" t="s">
        <v>15</v>
      </c>
      <c r="B2956" s="2" t="str">
        <f>"FES1162771399"</f>
        <v>FES1162771399</v>
      </c>
      <c r="C2956" s="2" t="s">
        <v>1897</v>
      </c>
      <c r="D2956" s="2">
        <v>1</v>
      </c>
      <c r="E2956" s="2" t="str">
        <f>"2170758426"</f>
        <v>2170758426</v>
      </c>
      <c r="F2956" s="2" t="s">
        <v>17</v>
      </c>
      <c r="G2956" s="2" t="s">
        <v>18</v>
      </c>
      <c r="H2956" s="2" t="s">
        <v>19</v>
      </c>
      <c r="I2956" s="2" t="s">
        <v>111</v>
      </c>
      <c r="J2956" s="2" t="s">
        <v>629</v>
      </c>
      <c r="K2956" s="2" t="s">
        <v>1969</v>
      </c>
      <c r="L2956" s="3">
        <v>0.3444444444444445</v>
      </c>
      <c r="M2956" s="2" t="s">
        <v>2083</v>
      </c>
      <c r="N2956" s="2" t="s">
        <v>500</v>
      </c>
      <c r="O2956" s="2"/>
    </row>
    <row r="2957" spans="1:15" x14ac:dyDescent="0.25">
      <c r="A2957" s="2" t="s">
        <v>15</v>
      </c>
      <c r="B2957" s="2" t="str">
        <f>"FES1162771321"</f>
        <v>FES1162771321</v>
      </c>
      <c r="C2957" s="2" t="s">
        <v>1897</v>
      </c>
      <c r="D2957" s="2">
        <v>1</v>
      </c>
      <c r="E2957" s="2" t="str">
        <f>"2170758374"</f>
        <v>2170758374</v>
      </c>
      <c r="F2957" s="2" t="s">
        <v>17</v>
      </c>
      <c r="G2957" s="2" t="s">
        <v>18</v>
      </c>
      <c r="H2957" s="2" t="s">
        <v>25</v>
      </c>
      <c r="I2957" s="2" t="s">
        <v>26</v>
      </c>
      <c r="J2957" s="2" t="s">
        <v>353</v>
      </c>
      <c r="K2957" s="2" t="s">
        <v>1969</v>
      </c>
      <c r="L2957" s="3">
        <v>0.41666666666666669</v>
      </c>
      <c r="M2957" s="2" t="s">
        <v>2084</v>
      </c>
      <c r="N2957" s="2" t="s">
        <v>500</v>
      </c>
      <c r="O2957" s="2"/>
    </row>
    <row r="2958" spans="1:15" x14ac:dyDescent="0.25">
      <c r="A2958" s="2" t="s">
        <v>15</v>
      </c>
      <c r="B2958" s="2" t="str">
        <f>"FES1162771342"</f>
        <v>FES1162771342</v>
      </c>
      <c r="C2958" s="2" t="s">
        <v>1897</v>
      </c>
      <c r="D2958" s="2">
        <v>1</v>
      </c>
      <c r="E2958" s="2" t="str">
        <f>"2170758395"</f>
        <v>2170758395</v>
      </c>
      <c r="F2958" s="2" t="s">
        <v>17</v>
      </c>
      <c r="G2958" s="2" t="s">
        <v>18</v>
      </c>
      <c r="H2958" s="2" t="s">
        <v>19</v>
      </c>
      <c r="I2958" s="2" t="s">
        <v>20</v>
      </c>
      <c r="J2958" s="2" t="s">
        <v>327</v>
      </c>
      <c r="K2958" s="2" t="s">
        <v>1969</v>
      </c>
      <c r="L2958" s="3">
        <v>0.35000000000000003</v>
      </c>
      <c r="M2958" s="2" t="s">
        <v>529</v>
      </c>
      <c r="N2958" s="2" t="s">
        <v>500</v>
      </c>
      <c r="O2958" s="2"/>
    </row>
    <row r="2959" spans="1:15" x14ac:dyDescent="0.25">
      <c r="A2959" s="2" t="s">
        <v>15</v>
      </c>
      <c r="B2959" s="2" t="str">
        <f>"FES1162771354"</f>
        <v>FES1162771354</v>
      </c>
      <c r="C2959" s="2" t="s">
        <v>1897</v>
      </c>
      <c r="D2959" s="2">
        <v>1</v>
      </c>
      <c r="E2959" s="2" t="str">
        <f>"2170758409"</f>
        <v>2170758409</v>
      </c>
      <c r="F2959" s="2" t="s">
        <v>17</v>
      </c>
      <c r="G2959" s="2" t="s">
        <v>18</v>
      </c>
      <c r="H2959" s="2" t="s">
        <v>18</v>
      </c>
      <c r="I2959" s="2" t="s">
        <v>46</v>
      </c>
      <c r="J2959" s="2" t="s">
        <v>59</v>
      </c>
      <c r="K2959" s="2" t="s">
        <v>1969</v>
      </c>
      <c r="L2959" s="3">
        <v>0.4375</v>
      </c>
      <c r="M2959" s="2" t="s">
        <v>60</v>
      </c>
      <c r="N2959" s="2" t="s">
        <v>500</v>
      </c>
      <c r="O2959" s="2"/>
    </row>
    <row r="2960" spans="1:15" x14ac:dyDescent="0.25">
      <c r="A2960" s="2" t="s">
        <v>15</v>
      </c>
      <c r="B2960" s="2" t="str">
        <f>"FES1162771299"</f>
        <v>FES1162771299</v>
      </c>
      <c r="C2960" s="2" t="s">
        <v>1897</v>
      </c>
      <c r="D2960" s="2">
        <v>1</v>
      </c>
      <c r="E2960" s="2" t="str">
        <f>"2170758053"</f>
        <v>2170758053</v>
      </c>
      <c r="F2960" s="2" t="s">
        <v>17</v>
      </c>
      <c r="G2960" s="2" t="s">
        <v>18</v>
      </c>
      <c r="H2960" s="2" t="s">
        <v>25</v>
      </c>
      <c r="I2960" s="2" t="s">
        <v>26</v>
      </c>
      <c r="J2960" s="2" t="s">
        <v>75</v>
      </c>
      <c r="K2960" s="2" t="s">
        <v>1969</v>
      </c>
      <c r="L2960" s="3">
        <v>0.33749999999999997</v>
      </c>
      <c r="M2960" s="2" t="s">
        <v>677</v>
      </c>
      <c r="N2960" s="2" t="s">
        <v>500</v>
      </c>
      <c r="O2960" s="2"/>
    </row>
    <row r="2961" spans="1:15" x14ac:dyDescent="0.25">
      <c r="A2961" s="2" t="s">
        <v>15</v>
      </c>
      <c r="B2961" s="2" t="str">
        <f>"FES1162771294"</f>
        <v>FES1162771294</v>
      </c>
      <c r="C2961" s="2" t="s">
        <v>1897</v>
      </c>
      <c r="D2961" s="2">
        <v>1</v>
      </c>
      <c r="E2961" s="2" t="str">
        <f>"2170757975"</f>
        <v>2170757975</v>
      </c>
      <c r="F2961" s="2" t="s">
        <v>17</v>
      </c>
      <c r="G2961" s="2" t="s">
        <v>18</v>
      </c>
      <c r="H2961" s="2" t="s">
        <v>25</v>
      </c>
      <c r="I2961" s="2" t="s">
        <v>345</v>
      </c>
      <c r="J2961" s="2" t="s">
        <v>346</v>
      </c>
      <c r="K2961" s="2" t="s">
        <v>2138</v>
      </c>
      <c r="L2961" s="3">
        <v>0.34791666666666665</v>
      </c>
      <c r="M2961" s="2" t="s">
        <v>2159</v>
      </c>
      <c r="N2961" s="2" t="s">
        <v>500</v>
      </c>
      <c r="O2961" s="2"/>
    </row>
    <row r="2962" spans="1:15" x14ac:dyDescent="0.25">
      <c r="A2962" s="2" t="s">
        <v>15</v>
      </c>
      <c r="B2962" s="2" t="str">
        <f>"FES1162771305"</f>
        <v>FES1162771305</v>
      </c>
      <c r="C2962" s="2" t="s">
        <v>1897</v>
      </c>
      <c r="D2962" s="2">
        <v>1</v>
      </c>
      <c r="E2962" s="2" t="str">
        <f>"2170758306"</f>
        <v>2170758306</v>
      </c>
      <c r="F2962" s="2" t="s">
        <v>17</v>
      </c>
      <c r="G2962" s="2" t="s">
        <v>18</v>
      </c>
      <c r="H2962" s="2" t="s">
        <v>25</v>
      </c>
      <c r="I2962" s="2" t="s">
        <v>345</v>
      </c>
      <c r="J2962" s="2" t="s">
        <v>346</v>
      </c>
      <c r="K2962" s="2" t="s">
        <v>2138</v>
      </c>
      <c r="L2962" s="3">
        <v>0.34791666666666665</v>
      </c>
      <c r="M2962" s="2" t="s">
        <v>2159</v>
      </c>
      <c r="N2962" s="2" t="s">
        <v>500</v>
      </c>
      <c r="O2962" s="2"/>
    </row>
    <row r="2963" spans="1:15" x14ac:dyDescent="0.25">
      <c r="A2963" s="2" t="s">
        <v>15</v>
      </c>
      <c r="B2963" s="2" t="str">
        <f>"FES1162771289"</f>
        <v>FES1162771289</v>
      </c>
      <c r="C2963" s="2" t="s">
        <v>1897</v>
      </c>
      <c r="D2963" s="2">
        <v>1</v>
      </c>
      <c r="E2963" s="2" t="str">
        <f>"2170757094"</f>
        <v>2170757094</v>
      </c>
      <c r="F2963" s="2" t="s">
        <v>17</v>
      </c>
      <c r="G2963" s="2" t="s">
        <v>18</v>
      </c>
      <c r="H2963" s="2" t="s">
        <v>25</v>
      </c>
      <c r="I2963" s="2" t="s">
        <v>26</v>
      </c>
      <c r="J2963" s="2" t="s">
        <v>422</v>
      </c>
      <c r="K2963" s="2" t="s">
        <v>1969</v>
      </c>
      <c r="L2963" s="3">
        <v>0.59930555555555554</v>
      </c>
      <c r="M2963" s="2" t="s">
        <v>813</v>
      </c>
      <c r="N2963" s="2" t="s">
        <v>500</v>
      </c>
      <c r="O2963" s="2"/>
    </row>
    <row r="2964" spans="1:15" x14ac:dyDescent="0.25">
      <c r="A2964" s="2" t="s">
        <v>15</v>
      </c>
      <c r="B2964" s="2" t="str">
        <f>"FES1162771283"</f>
        <v>FES1162771283</v>
      </c>
      <c r="C2964" s="2" t="s">
        <v>1897</v>
      </c>
      <c r="D2964" s="2">
        <v>1</v>
      </c>
      <c r="E2964" s="2" t="str">
        <f>"2170754669"</f>
        <v>2170754669</v>
      </c>
      <c r="F2964" s="2" t="s">
        <v>17</v>
      </c>
      <c r="G2964" s="2" t="s">
        <v>18</v>
      </c>
      <c r="H2964" s="2" t="s">
        <v>19</v>
      </c>
      <c r="I2964" s="2" t="s">
        <v>149</v>
      </c>
      <c r="J2964" s="2" t="s">
        <v>150</v>
      </c>
      <c r="K2964" s="2" t="s">
        <v>1969</v>
      </c>
      <c r="L2964" s="3">
        <v>0.48402777777777778</v>
      </c>
      <c r="M2964" s="2" t="s">
        <v>246</v>
      </c>
      <c r="N2964" s="2" t="s">
        <v>500</v>
      </c>
      <c r="O2964" s="2"/>
    </row>
    <row r="2965" spans="1:15" x14ac:dyDescent="0.25">
      <c r="A2965" s="2" t="s">
        <v>15</v>
      </c>
      <c r="B2965" s="2" t="str">
        <f>"FES1162771006"</f>
        <v>FES1162771006</v>
      </c>
      <c r="C2965" s="2" t="s">
        <v>1897</v>
      </c>
      <c r="D2965" s="2">
        <v>1</v>
      </c>
      <c r="E2965" s="2" t="str">
        <f>"2170757633"</f>
        <v>2170757633</v>
      </c>
      <c r="F2965" s="2" t="s">
        <v>17</v>
      </c>
      <c r="G2965" s="2" t="s">
        <v>18</v>
      </c>
      <c r="H2965" s="2" t="s">
        <v>25</v>
      </c>
      <c r="I2965" s="2" t="s">
        <v>26</v>
      </c>
      <c r="J2965" s="2" t="s">
        <v>27</v>
      </c>
      <c r="K2965" s="2" t="s">
        <v>1969</v>
      </c>
      <c r="L2965" s="3">
        <v>0.34513888888888888</v>
      </c>
      <c r="M2965" s="2" t="s">
        <v>171</v>
      </c>
      <c r="N2965" s="2" t="s">
        <v>500</v>
      </c>
      <c r="O2965" s="2"/>
    </row>
    <row r="2966" spans="1:15" x14ac:dyDescent="0.25">
      <c r="A2966" s="2" t="s">
        <v>15</v>
      </c>
      <c r="B2966" s="2" t="str">
        <f>"FES1162771331"</f>
        <v>FES1162771331</v>
      </c>
      <c r="C2966" s="2" t="s">
        <v>1897</v>
      </c>
      <c r="D2966" s="2">
        <v>1</v>
      </c>
      <c r="E2966" s="2" t="str">
        <f>"2170758277"</f>
        <v>2170758277</v>
      </c>
      <c r="F2966" s="2" t="s">
        <v>17</v>
      </c>
      <c r="G2966" s="2" t="s">
        <v>18</v>
      </c>
      <c r="H2966" s="2" t="s">
        <v>78</v>
      </c>
      <c r="I2966" s="2" t="s">
        <v>2039</v>
      </c>
      <c r="J2966" s="2" t="s">
        <v>2040</v>
      </c>
      <c r="K2966" s="2" t="s">
        <v>1969</v>
      </c>
      <c r="L2966" s="3">
        <v>0.51666666666666672</v>
      </c>
      <c r="M2966" s="2" t="s">
        <v>2085</v>
      </c>
      <c r="N2966" s="2" t="s">
        <v>500</v>
      </c>
      <c r="O2966" s="2"/>
    </row>
    <row r="2967" spans="1:15" x14ac:dyDescent="0.25">
      <c r="A2967" s="2" t="s">
        <v>15</v>
      </c>
      <c r="B2967" s="2" t="str">
        <f>"FES1162771326"</f>
        <v>FES1162771326</v>
      </c>
      <c r="C2967" s="2" t="s">
        <v>1897</v>
      </c>
      <c r="D2967" s="2">
        <v>1</v>
      </c>
      <c r="E2967" s="2" t="str">
        <f>"2170758383"</f>
        <v>2170758383</v>
      </c>
      <c r="F2967" s="2" t="s">
        <v>17</v>
      </c>
      <c r="G2967" s="2" t="s">
        <v>18</v>
      </c>
      <c r="H2967" s="2" t="s">
        <v>88</v>
      </c>
      <c r="I2967" s="2" t="s">
        <v>109</v>
      </c>
      <c r="J2967" s="2" t="s">
        <v>880</v>
      </c>
      <c r="K2967" s="2" t="s">
        <v>1969</v>
      </c>
      <c r="L2967" s="3">
        <v>0.51041666666666663</v>
      </c>
      <c r="M2967" s="2" t="s">
        <v>1471</v>
      </c>
      <c r="N2967" s="2" t="s">
        <v>500</v>
      </c>
      <c r="O2967" s="2"/>
    </row>
    <row r="2968" spans="1:15" x14ac:dyDescent="0.25">
      <c r="A2968" s="2" t="s">
        <v>15</v>
      </c>
      <c r="B2968" s="2" t="str">
        <f>"FES1162771352"</f>
        <v>FES1162771352</v>
      </c>
      <c r="C2968" s="2" t="s">
        <v>1897</v>
      </c>
      <c r="D2968" s="2">
        <v>1</v>
      </c>
      <c r="E2968" s="2" t="str">
        <f>"2170758407"</f>
        <v>2170758407</v>
      </c>
      <c r="F2968" s="2" t="s">
        <v>17</v>
      </c>
      <c r="G2968" s="2" t="s">
        <v>18</v>
      </c>
      <c r="H2968" s="2" t="s">
        <v>19</v>
      </c>
      <c r="I2968" s="2" t="s">
        <v>20</v>
      </c>
      <c r="J2968" s="2" t="s">
        <v>606</v>
      </c>
      <c r="K2968" s="2" t="s">
        <v>1969</v>
      </c>
      <c r="L2968" s="3">
        <v>0.45069444444444445</v>
      </c>
      <c r="M2968" s="2" t="s">
        <v>2086</v>
      </c>
      <c r="N2968" s="2" t="s">
        <v>500</v>
      </c>
      <c r="O2968" s="2"/>
    </row>
    <row r="2969" spans="1:15" x14ac:dyDescent="0.25">
      <c r="A2969" s="2" t="s">
        <v>15</v>
      </c>
      <c r="B2969" s="2" t="str">
        <f>"FES1162771302"</f>
        <v>FES1162771302</v>
      </c>
      <c r="C2969" s="2" t="s">
        <v>1897</v>
      </c>
      <c r="D2969" s="2">
        <v>1</v>
      </c>
      <c r="E2969" s="2" t="str">
        <f>"2170758194"</f>
        <v>2170758194</v>
      </c>
      <c r="F2969" s="2" t="s">
        <v>17</v>
      </c>
      <c r="G2969" s="2" t="s">
        <v>18</v>
      </c>
      <c r="H2969" s="2" t="s">
        <v>19</v>
      </c>
      <c r="I2969" s="2" t="s">
        <v>20</v>
      </c>
      <c r="J2969" s="2" t="s">
        <v>482</v>
      </c>
      <c r="K2969" s="2" t="s">
        <v>1969</v>
      </c>
      <c r="L2969" s="3">
        <v>0.73958333333333337</v>
      </c>
      <c r="M2969" s="2" t="s">
        <v>2087</v>
      </c>
      <c r="N2969" s="2" t="s">
        <v>500</v>
      </c>
      <c r="O2969" s="2"/>
    </row>
    <row r="2970" spans="1:15" x14ac:dyDescent="0.25">
      <c r="A2970" s="2" t="s">
        <v>15</v>
      </c>
      <c r="B2970" s="2" t="str">
        <f>"FES1162771306"</f>
        <v>FES1162771306</v>
      </c>
      <c r="C2970" s="2" t="s">
        <v>1897</v>
      </c>
      <c r="D2970" s="2">
        <v>1</v>
      </c>
      <c r="E2970" s="2" t="str">
        <f>"2170758325"</f>
        <v>2170758325</v>
      </c>
      <c r="F2970" s="2" t="s">
        <v>17</v>
      </c>
      <c r="G2970" s="2" t="s">
        <v>18</v>
      </c>
      <c r="H2970" s="2" t="s">
        <v>18</v>
      </c>
      <c r="I2970" s="2" t="s">
        <v>46</v>
      </c>
      <c r="J2970" s="2" t="s">
        <v>1420</v>
      </c>
      <c r="K2970" s="2" t="s">
        <v>1969</v>
      </c>
      <c r="L2970" s="3">
        <v>0.38541666666666669</v>
      </c>
      <c r="M2970" s="2" t="s">
        <v>2088</v>
      </c>
      <c r="N2970" s="2" t="s">
        <v>500</v>
      </c>
      <c r="O2970" s="2"/>
    </row>
    <row r="2971" spans="1:15" x14ac:dyDescent="0.25">
      <c r="A2971" s="2" t="s">
        <v>15</v>
      </c>
      <c r="B2971" s="2" t="str">
        <f>"FES1162771208"</f>
        <v>FES1162771208</v>
      </c>
      <c r="C2971" s="2" t="s">
        <v>1897</v>
      </c>
      <c r="D2971" s="2">
        <v>1</v>
      </c>
      <c r="E2971" s="2" t="str">
        <f>"2170758257"</f>
        <v>2170758257</v>
      </c>
      <c r="F2971" s="2" t="s">
        <v>17</v>
      </c>
      <c r="G2971" s="2" t="s">
        <v>18</v>
      </c>
      <c r="H2971" s="2" t="s">
        <v>78</v>
      </c>
      <c r="I2971" s="2" t="s">
        <v>79</v>
      </c>
      <c r="J2971" s="2" t="s">
        <v>118</v>
      </c>
      <c r="K2971" s="2" t="s">
        <v>1969</v>
      </c>
      <c r="L2971" s="3">
        <v>0.40625</v>
      </c>
      <c r="M2971" s="2" t="s">
        <v>708</v>
      </c>
      <c r="N2971" s="2" t="s">
        <v>500</v>
      </c>
      <c r="O2971" s="2"/>
    </row>
    <row r="2972" spans="1:15" x14ac:dyDescent="0.25">
      <c r="A2972" s="5" t="s">
        <v>15</v>
      </c>
      <c r="B2972" s="5" t="str">
        <f>"FES1162771044"</f>
        <v>FES1162771044</v>
      </c>
      <c r="C2972" s="5" t="s">
        <v>1897</v>
      </c>
      <c r="D2972" s="5">
        <v>1</v>
      </c>
      <c r="E2972" s="5" t="str">
        <f>"2170758207"</f>
        <v>2170758207</v>
      </c>
      <c r="F2972" s="5" t="s">
        <v>17</v>
      </c>
      <c r="G2972" s="5" t="s">
        <v>18</v>
      </c>
      <c r="H2972" s="5" t="s">
        <v>88</v>
      </c>
      <c r="I2972" s="5" t="s">
        <v>109</v>
      </c>
      <c r="J2972" s="5" t="s">
        <v>1021</v>
      </c>
      <c r="K2972" s="5" t="s">
        <v>2138</v>
      </c>
      <c r="L2972" s="5" t="s">
        <v>2224</v>
      </c>
      <c r="M2972" s="5" t="s">
        <v>2233</v>
      </c>
      <c r="N2972" s="5" t="s">
        <v>500</v>
      </c>
      <c r="O2972" s="5"/>
    </row>
    <row r="2973" spans="1:15" x14ac:dyDescent="0.25">
      <c r="A2973" s="5" t="s">
        <v>15</v>
      </c>
      <c r="B2973" s="5" t="str">
        <f>"FES1162771322"</f>
        <v>FES1162771322</v>
      </c>
      <c r="C2973" s="5" t="s">
        <v>1897</v>
      </c>
      <c r="D2973" s="5">
        <v>1</v>
      </c>
      <c r="E2973" s="5" t="str">
        <f>"2170758375"</f>
        <v>2170758375</v>
      </c>
      <c r="F2973" s="5" t="s">
        <v>17</v>
      </c>
      <c r="G2973" s="5" t="s">
        <v>18</v>
      </c>
      <c r="H2973" s="5" t="s">
        <v>18</v>
      </c>
      <c r="I2973" s="5" t="s">
        <v>57</v>
      </c>
      <c r="J2973" s="5" t="s">
        <v>1313</v>
      </c>
      <c r="K2973" s="5" t="s">
        <v>2138</v>
      </c>
      <c r="L2973" s="5" t="s">
        <v>2232</v>
      </c>
      <c r="M2973" s="5" t="s">
        <v>2231</v>
      </c>
      <c r="N2973" s="5" t="s">
        <v>500</v>
      </c>
      <c r="O2973" s="5"/>
    </row>
    <row r="2974" spans="1:15" x14ac:dyDescent="0.25">
      <c r="A2974" s="2" t="s">
        <v>15</v>
      </c>
      <c r="B2974" s="2" t="str">
        <f>"FES1162771334"</f>
        <v>FES1162771334</v>
      </c>
      <c r="C2974" s="2" t="s">
        <v>1897</v>
      </c>
      <c r="D2974" s="2">
        <v>2</v>
      </c>
      <c r="E2974" s="2" t="str">
        <f>"2170754376"</f>
        <v>2170754376</v>
      </c>
      <c r="F2974" s="2" t="s">
        <v>17</v>
      </c>
      <c r="G2974" s="2" t="s">
        <v>18</v>
      </c>
      <c r="H2974" s="2" t="s">
        <v>25</v>
      </c>
      <c r="I2974" s="2" t="s">
        <v>26</v>
      </c>
      <c r="J2974" s="2" t="s">
        <v>27</v>
      </c>
      <c r="K2974" s="2" t="s">
        <v>1969</v>
      </c>
      <c r="L2974" s="3">
        <v>0.34583333333333338</v>
      </c>
      <c r="M2974" s="2" t="s">
        <v>171</v>
      </c>
      <c r="N2974" s="2" t="s">
        <v>500</v>
      </c>
      <c r="O2974" s="2"/>
    </row>
    <row r="2975" spans="1:15" x14ac:dyDescent="0.25">
      <c r="A2975" s="2" t="s">
        <v>15</v>
      </c>
      <c r="B2975" s="2" t="str">
        <f>"FES1162771319"</f>
        <v>FES1162771319</v>
      </c>
      <c r="C2975" s="2" t="s">
        <v>1897</v>
      </c>
      <c r="D2975" s="2">
        <v>1</v>
      </c>
      <c r="E2975" s="2" t="str">
        <f>"2170758372"</f>
        <v>2170758372</v>
      </c>
      <c r="F2975" s="2" t="s">
        <v>17</v>
      </c>
      <c r="G2975" s="2" t="s">
        <v>18</v>
      </c>
      <c r="H2975" s="2" t="s">
        <v>18</v>
      </c>
      <c r="I2975" s="2" t="s">
        <v>50</v>
      </c>
      <c r="J2975" s="2" t="s">
        <v>2041</v>
      </c>
      <c r="K2975" s="2" t="s">
        <v>1969</v>
      </c>
      <c r="L2975" s="3">
        <v>0.26597222222222222</v>
      </c>
      <c r="M2975" s="2" t="s">
        <v>2089</v>
      </c>
      <c r="N2975" s="2" t="s">
        <v>500</v>
      </c>
      <c r="O2975" s="2"/>
    </row>
    <row r="2976" spans="1:15" x14ac:dyDescent="0.25">
      <c r="A2976" s="2" t="s">
        <v>15</v>
      </c>
      <c r="B2976" s="2" t="str">
        <f>"FES1162771346"</f>
        <v>FES1162771346</v>
      </c>
      <c r="C2976" s="2" t="s">
        <v>1897</v>
      </c>
      <c r="D2976" s="2">
        <v>1</v>
      </c>
      <c r="E2976" s="2" t="str">
        <f>"2170758403"</f>
        <v>2170758403</v>
      </c>
      <c r="F2976" s="2" t="s">
        <v>17</v>
      </c>
      <c r="G2976" s="2" t="s">
        <v>18</v>
      </c>
      <c r="H2976" s="2" t="s">
        <v>25</v>
      </c>
      <c r="I2976" s="2" t="s">
        <v>26</v>
      </c>
      <c r="J2976" s="2" t="s">
        <v>1288</v>
      </c>
      <c r="K2976" s="2" t="s">
        <v>1969</v>
      </c>
      <c r="L2976" s="3">
        <v>0.41736111111111113</v>
      </c>
      <c r="M2976" s="2" t="s">
        <v>1340</v>
      </c>
      <c r="N2976" s="2" t="s">
        <v>500</v>
      </c>
      <c r="O2976" s="2"/>
    </row>
    <row r="2977" spans="1:15" x14ac:dyDescent="0.25">
      <c r="A2977" s="2" t="s">
        <v>15</v>
      </c>
      <c r="B2977" s="2" t="str">
        <f>"FES1162771330"</f>
        <v>FES1162771330</v>
      </c>
      <c r="C2977" s="2" t="s">
        <v>1897</v>
      </c>
      <c r="D2977" s="2">
        <v>1</v>
      </c>
      <c r="E2977" s="2" t="str">
        <f>"2170758214"</f>
        <v>2170758214</v>
      </c>
      <c r="F2977" s="2" t="s">
        <v>17</v>
      </c>
      <c r="G2977" s="2" t="s">
        <v>18</v>
      </c>
      <c r="H2977" s="2" t="s">
        <v>36</v>
      </c>
      <c r="I2977" s="2" t="s">
        <v>37</v>
      </c>
      <c r="J2977" s="2" t="s">
        <v>38</v>
      </c>
      <c r="K2977" s="2" t="s">
        <v>1969</v>
      </c>
      <c r="L2977" s="3">
        <v>0.38611111111111113</v>
      </c>
      <c r="M2977" s="2" t="s">
        <v>688</v>
      </c>
      <c r="N2977" s="2" t="s">
        <v>500</v>
      </c>
      <c r="O2977" s="2"/>
    </row>
    <row r="2978" spans="1:15" x14ac:dyDescent="0.25">
      <c r="A2978" s="2" t="s">
        <v>15</v>
      </c>
      <c r="B2978" s="2" t="str">
        <f>"FES1162769375"</f>
        <v>FES1162769375</v>
      </c>
      <c r="C2978" s="2" t="s">
        <v>1897</v>
      </c>
      <c r="D2978" s="2">
        <v>1</v>
      </c>
      <c r="E2978" s="2" t="str">
        <f>"2170755834"</f>
        <v>2170755834</v>
      </c>
      <c r="F2978" s="2" t="s">
        <v>17</v>
      </c>
      <c r="G2978" s="2" t="s">
        <v>18</v>
      </c>
      <c r="H2978" s="2" t="s">
        <v>19</v>
      </c>
      <c r="I2978" s="2" t="s">
        <v>20</v>
      </c>
      <c r="J2978" s="2" t="s">
        <v>443</v>
      </c>
      <c r="K2978" s="2" t="s">
        <v>1969</v>
      </c>
      <c r="L2978" s="3">
        <v>0.44861111111111113</v>
      </c>
      <c r="M2978" s="2" t="s">
        <v>550</v>
      </c>
      <c r="N2978" s="2" t="s">
        <v>500</v>
      </c>
      <c r="O2978" s="2"/>
    </row>
    <row r="2979" spans="1:15" x14ac:dyDescent="0.25">
      <c r="A2979" s="2" t="s">
        <v>15</v>
      </c>
      <c r="B2979" s="2" t="str">
        <f>"FES1162771323"</f>
        <v>FES1162771323</v>
      </c>
      <c r="C2979" s="2" t="s">
        <v>1897</v>
      </c>
      <c r="D2979" s="2">
        <v>1</v>
      </c>
      <c r="E2979" s="2" t="str">
        <f>"2170758379"</f>
        <v>2170758379</v>
      </c>
      <c r="F2979" s="2" t="s">
        <v>17</v>
      </c>
      <c r="G2979" s="2" t="s">
        <v>18</v>
      </c>
      <c r="H2979" s="2" t="s">
        <v>18</v>
      </c>
      <c r="I2979" s="2" t="s">
        <v>57</v>
      </c>
      <c r="J2979" s="2" t="s">
        <v>903</v>
      </c>
      <c r="K2979" s="2" t="s">
        <v>1969</v>
      </c>
      <c r="L2979" s="3">
        <v>0.33333333333333331</v>
      </c>
      <c r="M2979" s="2" t="s">
        <v>1211</v>
      </c>
      <c r="N2979" s="2" t="s">
        <v>500</v>
      </c>
      <c r="O2979" s="2"/>
    </row>
    <row r="2980" spans="1:15" x14ac:dyDescent="0.25">
      <c r="A2980" s="2" t="s">
        <v>15</v>
      </c>
      <c r="B2980" s="2" t="str">
        <f>"FES1162771212"</f>
        <v>FES1162771212</v>
      </c>
      <c r="C2980" s="2" t="s">
        <v>1897</v>
      </c>
      <c r="D2980" s="2">
        <v>1</v>
      </c>
      <c r="E2980" s="2" t="str">
        <f>"2170758264"</f>
        <v>2170758264</v>
      </c>
      <c r="F2980" s="2" t="s">
        <v>17</v>
      </c>
      <c r="G2980" s="2" t="s">
        <v>18</v>
      </c>
      <c r="H2980" s="2" t="s">
        <v>78</v>
      </c>
      <c r="I2980" s="2" t="s">
        <v>79</v>
      </c>
      <c r="J2980" s="2" t="s">
        <v>80</v>
      </c>
      <c r="K2980" s="2" t="s">
        <v>1969</v>
      </c>
      <c r="L2980" s="3">
        <v>0.40138888888888885</v>
      </c>
      <c r="M2980" s="2" t="s">
        <v>199</v>
      </c>
      <c r="N2980" s="2" t="s">
        <v>500</v>
      </c>
      <c r="O2980" s="2"/>
    </row>
    <row r="2981" spans="1:15" x14ac:dyDescent="0.25">
      <c r="A2981" s="2" t="s">
        <v>15</v>
      </c>
      <c r="B2981" s="2" t="str">
        <f>"FES1162769530"</f>
        <v>FES1162769530</v>
      </c>
      <c r="C2981" s="2" t="s">
        <v>1897</v>
      </c>
      <c r="D2981" s="2">
        <v>1</v>
      </c>
      <c r="E2981" s="2" t="str">
        <f>"2170755834"</f>
        <v>2170755834</v>
      </c>
      <c r="F2981" s="2" t="s">
        <v>17</v>
      </c>
      <c r="G2981" s="2" t="s">
        <v>18</v>
      </c>
      <c r="H2981" s="2" t="s">
        <v>19</v>
      </c>
      <c r="I2981" s="2" t="s">
        <v>20</v>
      </c>
      <c r="J2981" s="2" t="s">
        <v>443</v>
      </c>
      <c r="K2981" s="2" t="s">
        <v>1969</v>
      </c>
      <c r="L2981" s="3">
        <v>0.44861111111111113</v>
      </c>
      <c r="M2981" s="2" t="s">
        <v>550</v>
      </c>
      <c r="N2981" s="2" t="s">
        <v>500</v>
      </c>
      <c r="O2981" s="2"/>
    </row>
    <row r="2982" spans="1:15" x14ac:dyDescent="0.25">
      <c r="A2982" s="2" t="s">
        <v>15</v>
      </c>
      <c r="B2982" s="2" t="str">
        <f>"FES1162771396"</f>
        <v>FES1162771396</v>
      </c>
      <c r="C2982" s="2" t="s">
        <v>1897</v>
      </c>
      <c r="D2982" s="2">
        <v>1</v>
      </c>
      <c r="E2982" s="2" t="str">
        <f>"2170753006"</f>
        <v>2170753006</v>
      </c>
      <c r="F2982" s="2" t="s">
        <v>17</v>
      </c>
      <c r="G2982" s="2" t="s">
        <v>18</v>
      </c>
      <c r="H2982" s="2" t="s">
        <v>25</v>
      </c>
      <c r="I2982" s="2" t="s">
        <v>26</v>
      </c>
      <c r="J2982" s="2" t="s">
        <v>27</v>
      </c>
      <c r="K2982" s="2" t="s">
        <v>1969</v>
      </c>
      <c r="L2982" s="3">
        <v>0.34652777777777777</v>
      </c>
      <c r="M2982" s="2" t="s">
        <v>171</v>
      </c>
      <c r="N2982" s="2" t="s">
        <v>500</v>
      </c>
      <c r="O2982" s="2"/>
    </row>
    <row r="2983" spans="1:15" x14ac:dyDescent="0.25">
      <c r="A2983" s="2" t="s">
        <v>15</v>
      </c>
      <c r="B2983" s="2" t="str">
        <f>"FES1162771335"</f>
        <v>FES1162771335</v>
      </c>
      <c r="C2983" s="2" t="s">
        <v>1897</v>
      </c>
      <c r="D2983" s="2">
        <v>1</v>
      </c>
      <c r="E2983" s="2" t="str">
        <f>"2170754366"</f>
        <v>2170754366</v>
      </c>
      <c r="F2983" s="2" t="s">
        <v>17</v>
      </c>
      <c r="G2983" s="2" t="s">
        <v>18</v>
      </c>
      <c r="H2983" s="2" t="s">
        <v>25</v>
      </c>
      <c r="I2983" s="2" t="s">
        <v>26</v>
      </c>
      <c r="J2983" s="2" t="s">
        <v>27</v>
      </c>
      <c r="K2983" s="2" t="s">
        <v>1969</v>
      </c>
      <c r="L2983" s="3">
        <v>0.34722222222222227</v>
      </c>
      <c r="M2983" s="2" t="s">
        <v>171</v>
      </c>
      <c r="N2983" s="2" t="s">
        <v>500</v>
      </c>
      <c r="O2983" s="2"/>
    </row>
    <row r="2984" spans="1:15" x14ac:dyDescent="0.25">
      <c r="A2984" s="2" t="s">
        <v>15</v>
      </c>
      <c r="B2984" s="2" t="str">
        <f>"FES1162758427"</f>
        <v>FES1162758427</v>
      </c>
      <c r="C2984" s="2" t="s">
        <v>1897</v>
      </c>
      <c r="D2984" s="2">
        <v>1</v>
      </c>
      <c r="E2984" s="2" t="str">
        <f>"2170757661"</f>
        <v>2170757661</v>
      </c>
      <c r="F2984" s="2" t="s">
        <v>17</v>
      </c>
      <c r="G2984" s="2" t="s">
        <v>18</v>
      </c>
      <c r="H2984" s="2" t="s">
        <v>18</v>
      </c>
      <c r="I2984" s="2" t="s">
        <v>97</v>
      </c>
      <c r="J2984" s="2" t="s">
        <v>98</v>
      </c>
      <c r="K2984" s="2" t="s">
        <v>1969</v>
      </c>
      <c r="L2984" s="3">
        <v>0.60069444444444442</v>
      </c>
      <c r="M2984" s="2" t="s">
        <v>935</v>
      </c>
      <c r="N2984" s="2" t="s">
        <v>500</v>
      </c>
      <c r="O2984" s="2"/>
    </row>
    <row r="2985" spans="1:15" x14ac:dyDescent="0.25">
      <c r="A2985" s="2" t="s">
        <v>15</v>
      </c>
      <c r="B2985" s="2" t="str">
        <f>"FES1162771297"</f>
        <v>FES1162771297</v>
      </c>
      <c r="C2985" s="2" t="s">
        <v>1897</v>
      </c>
      <c r="D2985" s="2">
        <v>1</v>
      </c>
      <c r="E2985" s="2" t="str">
        <f>"2170758045"</f>
        <v>2170758045</v>
      </c>
      <c r="F2985" s="2" t="s">
        <v>17</v>
      </c>
      <c r="G2985" s="2" t="s">
        <v>18</v>
      </c>
      <c r="H2985" s="2" t="s">
        <v>363</v>
      </c>
      <c r="I2985" s="2" t="s">
        <v>489</v>
      </c>
      <c r="J2985" s="2" t="s">
        <v>909</v>
      </c>
      <c r="K2985" s="2" t="s">
        <v>1969</v>
      </c>
      <c r="L2985" s="3">
        <v>0.39583333333333331</v>
      </c>
      <c r="M2985" s="2" t="s">
        <v>1365</v>
      </c>
      <c r="N2985" s="2" t="s">
        <v>500</v>
      </c>
      <c r="O2985" s="2"/>
    </row>
    <row r="2986" spans="1:15" x14ac:dyDescent="0.25">
      <c r="A2986" s="2" t="s">
        <v>15</v>
      </c>
      <c r="B2986" s="2" t="str">
        <f>"FES1162771070"</f>
        <v>FES1162771070</v>
      </c>
      <c r="C2986" s="2" t="s">
        <v>1897</v>
      </c>
      <c r="D2986" s="2">
        <v>2</v>
      </c>
      <c r="E2986" s="2" t="str">
        <f>"2170754105"</f>
        <v>2170754105</v>
      </c>
      <c r="F2986" s="2" t="s">
        <v>205</v>
      </c>
      <c r="G2986" s="2" t="s">
        <v>206</v>
      </c>
      <c r="H2986" s="2" t="s">
        <v>1116</v>
      </c>
      <c r="I2986" s="2" t="s">
        <v>437</v>
      </c>
      <c r="J2986" s="2" t="s">
        <v>110</v>
      </c>
      <c r="K2986" s="2" t="s">
        <v>1969</v>
      </c>
      <c r="L2986" s="3">
        <v>0.43055555555555558</v>
      </c>
      <c r="M2986" s="2" t="s">
        <v>224</v>
      </c>
      <c r="N2986" s="2" t="s">
        <v>500</v>
      </c>
      <c r="O2986" s="2"/>
    </row>
    <row r="2987" spans="1:15" x14ac:dyDescent="0.25">
      <c r="A2987" s="2" t="s">
        <v>15</v>
      </c>
      <c r="B2987" s="2" t="str">
        <f>"FES1162771370"</f>
        <v>FES1162771370</v>
      </c>
      <c r="C2987" s="2" t="s">
        <v>1897</v>
      </c>
      <c r="D2987" s="2">
        <v>1</v>
      </c>
      <c r="E2987" s="2" t="str">
        <f>"2170756596"</f>
        <v>2170756596</v>
      </c>
      <c r="F2987" s="2" t="s">
        <v>17</v>
      </c>
      <c r="G2987" s="2" t="s">
        <v>18</v>
      </c>
      <c r="H2987" s="2" t="s">
        <v>18</v>
      </c>
      <c r="I2987" s="2" t="s">
        <v>57</v>
      </c>
      <c r="J2987" s="2" t="s">
        <v>91</v>
      </c>
      <c r="K2987" s="2" t="s">
        <v>1969</v>
      </c>
      <c r="L2987" s="3">
        <v>0.28750000000000003</v>
      </c>
      <c r="M2987" s="2" t="s">
        <v>2090</v>
      </c>
      <c r="N2987" s="2" t="s">
        <v>500</v>
      </c>
      <c r="O2987" s="2"/>
    </row>
    <row r="2988" spans="1:15" x14ac:dyDescent="0.25">
      <c r="A2988" s="2" t="s">
        <v>15</v>
      </c>
      <c r="B2988" s="2" t="str">
        <f>"FES1162771395"</f>
        <v>FES1162771395</v>
      </c>
      <c r="C2988" s="2" t="s">
        <v>1897</v>
      </c>
      <c r="D2988" s="2">
        <v>1</v>
      </c>
      <c r="E2988" s="2" t="str">
        <f>"2170758417"</f>
        <v>2170758417</v>
      </c>
      <c r="F2988" s="2" t="s">
        <v>17</v>
      </c>
      <c r="G2988" s="2" t="s">
        <v>18</v>
      </c>
      <c r="H2988" s="2" t="s">
        <v>88</v>
      </c>
      <c r="I2988" s="2" t="s">
        <v>109</v>
      </c>
      <c r="J2988" s="2" t="s">
        <v>452</v>
      </c>
      <c r="K2988" s="2" t="s">
        <v>1969</v>
      </c>
      <c r="L2988" s="3">
        <v>0.50069444444444444</v>
      </c>
      <c r="M2988" s="2" t="s">
        <v>350</v>
      </c>
      <c r="N2988" s="2" t="s">
        <v>500</v>
      </c>
      <c r="O2988" s="2"/>
    </row>
    <row r="2989" spans="1:15" x14ac:dyDescent="0.25">
      <c r="A2989" s="2" t="s">
        <v>15</v>
      </c>
      <c r="B2989" s="2" t="str">
        <f>"FES1162771304"</f>
        <v>FES1162771304</v>
      </c>
      <c r="C2989" s="2" t="s">
        <v>1897</v>
      </c>
      <c r="D2989" s="2">
        <v>1</v>
      </c>
      <c r="E2989" s="2" t="str">
        <f>"2170758241"</f>
        <v>2170758241</v>
      </c>
      <c r="F2989" s="2" t="s">
        <v>17</v>
      </c>
      <c r="G2989" s="2" t="s">
        <v>18</v>
      </c>
      <c r="H2989" s="2" t="s">
        <v>88</v>
      </c>
      <c r="I2989" s="2" t="s">
        <v>109</v>
      </c>
      <c r="J2989" s="2" t="s">
        <v>2042</v>
      </c>
      <c r="K2989" s="2" t="s">
        <v>1969</v>
      </c>
      <c r="L2989" s="3">
        <v>0.39861111111111108</v>
      </c>
      <c r="M2989" s="2" t="s">
        <v>2091</v>
      </c>
      <c r="N2989" s="2" t="s">
        <v>500</v>
      </c>
      <c r="O2989" s="2"/>
    </row>
    <row r="2990" spans="1:15" x14ac:dyDescent="0.25">
      <c r="A2990" s="2" t="s">
        <v>15</v>
      </c>
      <c r="B2990" s="2" t="str">
        <f>"FES1162771219"</f>
        <v>FES1162771219</v>
      </c>
      <c r="C2990" s="2" t="s">
        <v>1897</v>
      </c>
      <c r="D2990" s="2">
        <v>1</v>
      </c>
      <c r="E2990" s="2" t="str">
        <f>"2170755839"</f>
        <v>2170755839</v>
      </c>
      <c r="F2990" s="2" t="s">
        <v>17</v>
      </c>
      <c r="G2990" s="2" t="s">
        <v>18</v>
      </c>
      <c r="H2990" s="2" t="s">
        <v>88</v>
      </c>
      <c r="I2990" s="2" t="s">
        <v>109</v>
      </c>
      <c r="J2990" s="2" t="s">
        <v>155</v>
      </c>
      <c r="K2990" s="2" t="s">
        <v>1969</v>
      </c>
      <c r="L2990" s="3">
        <v>0.38194444444444442</v>
      </c>
      <c r="M2990" s="2" t="s">
        <v>251</v>
      </c>
      <c r="N2990" s="2" t="s">
        <v>500</v>
      </c>
      <c r="O2990" s="2"/>
    </row>
    <row r="2991" spans="1:15" x14ac:dyDescent="0.25">
      <c r="A2991" s="2" t="s">
        <v>15</v>
      </c>
      <c r="B2991" s="2" t="str">
        <f>"FES1162771320"</f>
        <v>FES1162771320</v>
      </c>
      <c r="C2991" s="2" t="s">
        <v>1897</v>
      </c>
      <c r="D2991" s="2">
        <v>1</v>
      </c>
      <c r="E2991" s="2" t="str">
        <f>"2170758373"</f>
        <v>2170758373</v>
      </c>
      <c r="F2991" s="2" t="s">
        <v>17</v>
      </c>
      <c r="G2991" s="2" t="s">
        <v>18</v>
      </c>
      <c r="H2991" s="2" t="s">
        <v>78</v>
      </c>
      <c r="I2991" s="2" t="s">
        <v>159</v>
      </c>
      <c r="J2991" s="2" t="s">
        <v>402</v>
      </c>
      <c r="K2991" s="2" t="s">
        <v>1969</v>
      </c>
      <c r="L2991" s="3">
        <v>0.44236111111111115</v>
      </c>
      <c r="M2991" s="2" t="s">
        <v>729</v>
      </c>
      <c r="N2991" s="2" t="s">
        <v>500</v>
      </c>
      <c r="O2991" s="2"/>
    </row>
    <row r="2992" spans="1:15" x14ac:dyDescent="0.25">
      <c r="A2992" s="5" t="s">
        <v>15</v>
      </c>
      <c r="B2992" s="5" t="str">
        <f>"FES1162771269"</f>
        <v>FES1162771269</v>
      </c>
      <c r="C2992" s="5" t="s">
        <v>1897</v>
      </c>
      <c r="D2992" s="5">
        <v>1</v>
      </c>
      <c r="E2992" s="5" t="str">
        <f>"2170758338"</f>
        <v>2170758338</v>
      </c>
      <c r="F2992" s="5" t="s">
        <v>17</v>
      </c>
      <c r="G2992" s="5" t="s">
        <v>18</v>
      </c>
      <c r="H2992" s="5" t="s">
        <v>88</v>
      </c>
      <c r="I2992" s="5" t="s">
        <v>109</v>
      </c>
      <c r="J2992" s="5" t="s">
        <v>2043</v>
      </c>
      <c r="K2992" s="5" t="s">
        <v>2138</v>
      </c>
      <c r="L2992" s="5" t="s">
        <v>2230</v>
      </c>
      <c r="M2992" s="5" t="s">
        <v>2229</v>
      </c>
      <c r="N2992" s="5" t="s">
        <v>500</v>
      </c>
      <c r="O2992" s="5"/>
    </row>
    <row r="2993" spans="1:15" x14ac:dyDescent="0.25">
      <c r="A2993" s="2" t="s">
        <v>15</v>
      </c>
      <c r="B2993" s="2" t="str">
        <f>"FES1162771237"</f>
        <v>FES1162771237</v>
      </c>
      <c r="C2993" s="2" t="s">
        <v>1897</v>
      </c>
      <c r="D2993" s="2">
        <v>1</v>
      </c>
      <c r="E2993" s="2" t="str">
        <f>"2170758293"</f>
        <v>2170758293</v>
      </c>
      <c r="F2993" s="2" t="s">
        <v>17</v>
      </c>
      <c r="G2993" s="2" t="s">
        <v>18</v>
      </c>
      <c r="H2993" s="2" t="s">
        <v>18</v>
      </c>
      <c r="I2993" s="2" t="s">
        <v>459</v>
      </c>
      <c r="J2993" s="2" t="s">
        <v>460</v>
      </c>
      <c r="K2993" s="2" t="s">
        <v>1969</v>
      </c>
      <c r="L2993" s="3">
        <v>0.375</v>
      </c>
      <c r="M2993" s="2" t="s">
        <v>2092</v>
      </c>
      <c r="N2993" s="2" t="s">
        <v>500</v>
      </c>
      <c r="O2993" s="2"/>
    </row>
    <row r="2994" spans="1:15" x14ac:dyDescent="0.25">
      <c r="A2994" s="2" t="s">
        <v>15</v>
      </c>
      <c r="B2994" s="2" t="str">
        <f>"FES1162771298"</f>
        <v>FES1162771298</v>
      </c>
      <c r="C2994" s="2" t="s">
        <v>1897</v>
      </c>
      <c r="D2994" s="2">
        <v>1</v>
      </c>
      <c r="E2994" s="2" t="str">
        <f>"2170758047"</f>
        <v>2170758047</v>
      </c>
      <c r="F2994" s="2" t="s">
        <v>17</v>
      </c>
      <c r="G2994" s="2" t="s">
        <v>18</v>
      </c>
      <c r="H2994" s="2" t="s">
        <v>19</v>
      </c>
      <c r="I2994" s="2" t="s">
        <v>111</v>
      </c>
      <c r="J2994" s="2" t="s">
        <v>2044</v>
      </c>
      <c r="K2994" s="2" t="s">
        <v>1969</v>
      </c>
      <c r="L2994" s="3">
        <v>0.38958333333333334</v>
      </c>
      <c r="M2994" s="2" t="s">
        <v>2093</v>
      </c>
      <c r="N2994" s="2" t="s">
        <v>500</v>
      </c>
      <c r="O2994" s="2"/>
    </row>
    <row r="2995" spans="1:15" x14ac:dyDescent="0.25">
      <c r="A2995" s="2" t="s">
        <v>15</v>
      </c>
      <c r="B2995" s="2" t="str">
        <f>"FES1162771359"</f>
        <v>FES1162771359</v>
      </c>
      <c r="C2995" s="2" t="s">
        <v>1897</v>
      </c>
      <c r="D2995" s="2">
        <v>1</v>
      </c>
      <c r="E2995" s="2" t="str">
        <f>"2170755101"</f>
        <v>2170755101</v>
      </c>
      <c r="F2995" s="2" t="s">
        <v>17</v>
      </c>
      <c r="G2995" s="2" t="s">
        <v>18</v>
      </c>
      <c r="H2995" s="2" t="s">
        <v>78</v>
      </c>
      <c r="I2995" s="2" t="s">
        <v>79</v>
      </c>
      <c r="J2995" s="2" t="s">
        <v>630</v>
      </c>
      <c r="K2995" s="2" t="s">
        <v>1969</v>
      </c>
      <c r="L2995" s="3">
        <v>0.54375000000000007</v>
      </c>
      <c r="M2995" s="2" t="s">
        <v>748</v>
      </c>
      <c r="N2995" s="2" t="s">
        <v>500</v>
      </c>
      <c r="O2995" s="2"/>
    </row>
    <row r="2996" spans="1:15" x14ac:dyDescent="0.25">
      <c r="A2996" s="2" t="s">
        <v>15</v>
      </c>
      <c r="B2996" s="2" t="str">
        <f>"FES1162771389"</f>
        <v>FES1162771389</v>
      </c>
      <c r="C2996" s="2" t="s">
        <v>1897</v>
      </c>
      <c r="D2996" s="2">
        <v>1</v>
      </c>
      <c r="E2996" s="2" t="str">
        <f>"2170758410"</f>
        <v>2170758410</v>
      </c>
      <c r="F2996" s="2" t="s">
        <v>17</v>
      </c>
      <c r="G2996" s="2" t="s">
        <v>18</v>
      </c>
      <c r="H2996" s="2" t="s">
        <v>19</v>
      </c>
      <c r="I2996" s="2" t="s">
        <v>114</v>
      </c>
      <c r="J2996" s="2" t="s">
        <v>66</v>
      </c>
      <c r="K2996" s="2" t="s">
        <v>1969</v>
      </c>
      <c r="L2996" s="3">
        <v>0.6</v>
      </c>
      <c r="M2996" s="2" t="s">
        <v>267</v>
      </c>
      <c r="N2996" s="2" t="s">
        <v>500</v>
      </c>
      <c r="O2996" s="2"/>
    </row>
    <row r="2997" spans="1:15" x14ac:dyDescent="0.25">
      <c r="A2997" s="2" t="s">
        <v>15</v>
      </c>
      <c r="B2997" s="2" t="str">
        <f>"FES1162771368"</f>
        <v>FES1162771368</v>
      </c>
      <c r="C2997" s="2" t="s">
        <v>1897</v>
      </c>
      <c r="D2997" s="2">
        <v>1</v>
      </c>
      <c r="E2997" s="2" t="str">
        <f>"2170756400"</f>
        <v>2170756400</v>
      </c>
      <c r="F2997" s="2" t="s">
        <v>17</v>
      </c>
      <c r="G2997" s="2" t="s">
        <v>18</v>
      </c>
      <c r="H2997" s="2" t="s">
        <v>19</v>
      </c>
      <c r="I2997" s="2" t="s">
        <v>73</v>
      </c>
      <c r="J2997" s="2" t="s">
        <v>76</v>
      </c>
      <c r="K2997" s="2" t="s">
        <v>1969</v>
      </c>
      <c r="L2997" s="3">
        <v>0.39861111111111108</v>
      </c>
      <c r="M2997" s="2" t="s">
        <v>197</v>
      </c>
      <c r="N2997" s="2" t="s">
        <v>500</v>
      </c>
      <c r="O2997" s="2"/>
    </row>
    <row r="2998" spans="1:15" x14ac:dyDescent="0.25">
      <c r="A2998" s="2" t="s">
        <v>15</v>
      </c>
      <c r="B2998" s="2" t="str">
        <f>"FES1162771292"</f>
        <v>FES1162771292</v>
      </c>
      <c r="C2998" s="2" t="s">
        <v>1897</v>
      </c>
      <c r="D2998" s="2">
        <v>1</v>
      </c>
      <c r="E2998" s="2" t="str">
        <f>"2170757385"</f>
        <v>2170757385</v>
      </c>
      <c r="F2998" s="2" t="s">
        <v>17</v>
      </c>
      <c r="G2998" s="2" t="s">
        <v>18</v>
      </c>
      <c r="H2998" s="2" t="s">
        <v>78</v>
      </c>
      <c r="I2998" s="2" t="s">
        <v>79</v>
      </c>
      <c r="J2998" s="2" t="s">
        <v>664</v>
      </c>
      <c r="K2998" s="2" t="s">
        <v>1969</v>
      </c>
      <c r="L2998" s="3">
        <v>0.39166666666666666</v>
      </c>
      <c r="M2998" s="2" t="s">
        <v>2094</v>
      </c>
      <c r="N2998" s="2" t="s">
        <v>500</v>
      </c>
      <c r="O2998" s="2"/>
    </row>
    <row r="2999" spans="1:15" x14ac:dyDescent="0.25">
      <c r="A2999" s="2" t="s">
        <v>15</v>
      </c>
      <c r="B2999" s="2" t="str">
        <f>"FES1162771140"</f>
        <v>FES1162771140</v>
      </c>
      <c r="C2999" s="2" t="s">
        <v>1897</v>
      </c>
      <c r="D2999" s="2">
        <v>1</v>
      </c>
      <c r="E2999" s="2" t="str">
        <f>"2170756777"</f>
        <v>2170756777</v>
      </c>
      <c r="F2999" s="2" t="s">
        <v>17</v>
      </c>
      <c r="G2999" s="2" t="s">
        <v>18</v>
      </c>
      <c r="H2999" s="2" t="s">
        <v>18</v>
      </c>
      <c r="I2999" s="2" t="s">
        <v>46</v>
      </c>
      <c r="J2999" s="2" t="s">
        <v>168</v>
      </c>
      <c r="K2999" s="2" t="s">
        <v>1969</v>
      </c>
      <c r="L2999" s="3">
        <v>0.36736111111111108</v>
      </c>
      <c r="M2999" s="2" t="s">
        <v>1478</v>
      </c>
      <c r="N2999" s="2" t="s">
        <v>500</v>
      </c>
      <c r="O2999" s="2"/>
    </row>
    <row r="3000" spans="1:15" x14ac:dyDescent="0.25">
      <c r="A3000" s="2" t="s">
        <v>15</v>
      </c>
      <c r="B3000" s="2" t="str">
        <f>"FES1162771383"</f>
        <v>FES1162771383</v>
      </c>
      <c r="C3000" s="2" t="s">
        <v>1897</v>
      </c>
      <c r="D3000" s="2">
        <v>1</v>
      </c>
      <c r="E3000" s="2" t="str">
        <f>"2170757620"</f>
        <v>2170757620</v>
      </c>
      <c r="F3000" s="2" t="s">
        <v>17</v>
      </c>
      <c r="G3000" s="2" t="s">
        <v>18</v>
      </c>
      <c r="H3000" s="2" t="s">
        <v>19</v>
      </c>
      <c r="I3000" s="2" t="s">
        <v>20</v>
      </c>
      <c r="J3000" s="2" t="s">
        <v>21</v>
      </c>
      <c r="K3000" s="2" t="s">
        <v>1969</v>
      </c>
      <c r="L3000" s="3">
        <v>0.40069444444444446</v>
      </c>
      <c r="M3000" s="2" t="s">
        <v>2078</v>
      </c>
      <c r="N3000" s="2" t="s">
        <v>500</v>
      </c>
      <c r="O3000" s="2"/>
    </row>
    <row r="3001" spans="1:15" x14ac:dyDescent="0.25">
      <c r="A3001" s="2" t="s">
        <v>15</v>
      </c>
      <c r="B3001" s="2" t="str">
        <f>"FES1162771393"</f>
        <v>FES1162771393</v>
      </c>
      <c r="C3001" s="2" t="s">
        <v>1897</v>
      </c>
      <c r="D3001" s="2">
        <v>1</v>
      </c>
      <c r="E3001" s="2" t="str">
        <f>"2170758414"</f>
        <v>2170758414</v>
      </c>
      <c r="F3001" s="2" t="s">
        <v>17</v>
      </c>
      <c r="G3001" s="2" t="s">
        <v>18</v>
      </c>
      <c r="H3001" s="2" t="s">
        <v>25</v>
      </c>
      <c r="I3001" s="2" t="s">
        <v>26</v>
      </c>
      <c r="J3001" s="2" t="s">
        <v>915</v>
      </c>
      <c r="K3001" s="2" t="s">
        <v>1969</v>
      </c>
      <c r="L3001" s="3">
        <v>0.36874999999999997</v>
      </c>
      <c r="M3001" s="2" t="s">
        <v>2095</v>
      </c>
      <c r="N3001" s="2" t="s">
        <v>500</v>
      </c>
      <c r="O3001" s="2"/>
    </row>
    <row r="3002" spans="1:15" x14ac:dyDescent="0.25">
      <c r="A3002" s="2" t="s">
        <v>15</v>
      </c>
      <c r="B3002" s="2" t="str">
        <f>"FES1162771385"</f>
        <v>FES1162771385</v>
      </c>
      <c r="C3002" s="2" t="s">
        <v>1897</v>
      </c>
      <c r="D3002" s="2">
        <v>1</v>
      </c>
      <c r="E3002" s="2" t="str">
        <f>"2170758053"</f>
        <v>2170758053</v>
      </c>
      <c r="F3002" s="2" t="s">
        <v>17</v>
      </c>
      <c r="G3002" s="2" t="s">
        <v>18</v>
      </c>
      <c r="H3002" s="2" t="s">
        <v>25</v>
      </c>
      <c r="I3002" s="2" t="s">
        <v>26</v>
      </c>
      <c r="J3002" s="2" t="s">
        <v>75</v>
      </c>
      <c r="K3002" s="2" t="s">
        <v>1969</v>
      </c>
      <c r="L3002" s="3">
        <v>0.33749999999999997</v>
      </c>
      <c r="M3002" s="2" t="s">
        <v>677</v>
      </c>
      <c r="N3002" s="2" t="s">
        <v>500</v>
      </c>
      <c r="O3002" s="2"/>
    </row>
    <row r="3003" spans="1:15" x14ac:dyDescent="0.25">
      <c r="A3003" s="2" t="s">
        <v>15</v>
      </c>
      <c r="B3003" s="2" t="str">
        <f>"FES1162771414"</f>
        <v>FES1162771414</v>
      </c>
      <c r="C3003" s="2" t="s">
        <v>1897</v>
      </c>
      <c r="D3003" s="2">
        <v>1</v>
      </c>
      <c r="E3003" s="2" t="str">
        <f>"2170758449"</f>
        <v>2170758449</v>
      </c>
      <c r="F3003" s="2" t="s">
        <v>17</v>
      </c>
      <c r="G3003" s="2" t="s">
        <v>18</v>
      </c>
      <c r="H3003" s="2" t="s">
        <v>25</v>
      </c>
      <c r="I3003" s="2" t="s">
        <v>345</v>
      </c>
      <c r="J3003" s="2" t="s">
        <v>346</v>
      </c>
      <c r="K3003" s="2" t="s">
        <v>2138</v>
      </c>
      <c r="L3003" s="3">
        <v>0.34791666666666665</v>
      </c>
      <c r="M3003" s="2" t="s">
        <v>2159</v>
      </c>
      <c r="N3003" s="2" t="s">
        <v>500</v>
      </c>
      <c r="O3003" s="2"/>
    </row>
    <row r="3004" spans="1:15" x14ac:dyDescent="0.25">
      <c r="A3004" s="2" t="s">
        <v>15</v>
      </c>
      <c r="B3004" s="2" t="str">
        <f>"FES1162771357"</f>
        <v>FES1162771357</v>
      </c>
      <c r="C3004" s="2" t="s">
        <v>1897</v>
      </c>
      <c r="D3004" s="2">
        <v>1</v>
      </c>
      <c r="E3004" s="2" t="str">
        <f>"2170754575"</f>
        <v>2170754575</v>
      </c>
      <c r="F3004" s="2" t="s">
        <v>17</v>
      </c>
      <c r="G3004" s="2" t="s">
        <v>18</v>
      </c>
      <c r="H3004" s="2" t="s">
        <v>25</v>
      </c>
      <c r="I3004" s="2" t="s">
        <v>26</v>
      </c>
      <c r="J3004" s="2" t="s">
        <v>44</v>
      </c>
      <c r="K3004" s="2" t="s">
        <v>1969</v>
      </c>
      <c r="L3004" s="3">
        <v>0.41666666666666669</v>
      </c>
      <c r="M3004" s="2" t="s">
        <v>181</v>
      </c>
      <c r="N3004" s="2" t="s">
        <v>500</v>
      </c>
      <c r="O3004" s="2"/>
    </row>
    <row r="3005" spans="1:15" x14ac:dyDescent="0.25">
      <c r="A3005" s="2" t="s">
        <v>15</v>
      </c>
      <c r="B3005" s="2" t="str">
        <f>"FES1162771372"</f>
        <v>FES1162771372</v>
      </c>
      <c r="C3005" s="2" t="s">
        <v>1897</v>
      </c>
      <c r="D3005" s="2">
        <v>1</v>
      </c>
      <c r="E3005" s="2" t="str">
        <f>"2170756783"</f>
        <v>2170756783</v>
      </c>
      <c r="F3005" s="2" t="s">
        <v>17</v>
      </c>
      <c r="G3005" s="2" t="s">
        <v>18</v>
      </c>
      <c r="H3005" s="2" t="s">
        <v>25</v>
      </c>
      <c r="I3005" s="2" t="s">
        <v>26</v>
      </c>
      <c r="J3005" s="2" t="s">
        <v>353</v>
      </c>
      <c r="K3005" s="2" t="s">
        <v>1969</v>
      </c>
      <c r="L3005" s="3">
        <v>0.41666666666666669</v>
      </c>
      <c r="M3005" s="2" t="s">
        <v>2084</v>
      </c>
      <c r="N3005" s="2" t="s">
        <v>500</v>
      </c>
      <c r="O3005" s="2"/>
    </row>
    <row r="3006" spans="1:15" x14ac:dyDescent="0.25">
      <c r="A3006" s="2" t="s">
        <v>15</v>
      </c>
      <c r="B3006" s="2" t="str">
        <f>"FES1162771388"</f>
        <v>FES1162771388</v>
      </c>
      <c r="C3006" s="2" t="s">
        <v>1897</v>
      </c>
      <c r="D3006" s="2">
        <v>1</v>
      </c>
      <c r="E3006" s="2" t="str">
        <f>"2170758397"</f>
        <v>2170758397</v>
      </c>
      <c r="F3006" s="2" t="s">
        <v>17</v>
      </c>
      <c r="G3006" s="2" t="s">
        <v>18</v>
      </c>
      <c r="H3006" s="2" t="s">
        <v>18</v>
      </c>
      <c r="I3006" s="2" t="s">
        <v>57</v>
      </c>
      <c r="J3006" s="2" t="s">
        <v>103</v>
      </c>
      <c r="K3006" s="2" t="s">
        <v>1969</v>
      </c>
      <c r="L3006" s="3">
        <v>0.28125</v>
      </c>
      <c r="M3006" s="2" t="s">
        <v>220</v>
      </c>
      <c r="N3006" s="2" t="s">
        <v>500</v>
      </c>
      <c r="O3006" s="2"/>
    </row>
    <row r="3007" spans="1:15" x14ac:dyDescent="0.25">
      <c r="A3007" s="2" t="s">
        <v>15</v>
      </c>
      <c r="B3007" s="2" t="str">
        <f>"FES1162771327"</f>
        <v>FES1162771327</v>
      </c>
      <c r="C3007" s="2" t="s">
        <v>1897</v>
      </c>
      <c r="D3007" s="2">
        <v>1</v>
      </c>
      <c r="E3007" s="2" t="str">
        <f>"2170758387"</f>
        <v>2170758387</v>
      </c>
      <c r="F3007" s="2" t="s">
        <v>17</v>
      </c>
      <c r="G3007" s="2" t="s">
        <v>18</v>
      </c>
      <c r="H3007" s="2" t="s">
        <v>78</v>
      </c>
      <c r="I3007" s="2" t="s">
        <v>79</v>
      </c>
      <c r="J3007" s="2" t="s">
        <v>1306</v>
      </c>
      <c r="K3007" s="2" t="s">
        <v>1969</v>
      </c>
      <c r="L3007" s="3">
        <v>0.42708333333333331</v>
      </c>
      <c r="M3007" s="2" t="s">
        <v>2096</v>
      </c>
      <c r="N3007" s="2" t="s">
        <v>500</v>
      </c>
      <c r="O3007" s="2"/>
    </row>
    <row r="3008" spans="1:15" x14ac:dyDescent="0.25">
      <c r="A3008" s="2" t="s">
        <v>15</v>
      </c>
      <c r="B3008" s="2" t="str">
        <f>"FES1162771407"</f>
        <v>FES1162771407</v>
      </c>
      <c r="C3008" s="2" t="s">
        <v>1897</v>
      </c>
      <c r="D3008" s="2">
        <v>1</v>
      </c>
      <c r="E3008" s="2" t="str">
        <f>"2170758446"</f>
        <v>2170758446</v>
      </c>
      <c r="F3008" s="2" t="s">
        <v>17</v>
      </c>
      <c r="G3008" s="2" t="s">
        <v>18</v>
      </c>
      <c r="H3008" s="2" t="s">
        <v>19</v>
      </c>
      <c r="I3008" s="2" t="s">
        <v>111</v>
      </c>
      <c r="J3008" s="2" t="s">
        <v>385</v>
      </c>
      <c r="K3008" s="2" t="s">
        <v>1969</v>
      </c>
      <c r="L3008" s="3">
        <v>0.42291666666666666</v>
      </c>
      <c r="M3008" s="2" t="s">
        <v>2097</v>
      </c>
      <c r="N3008" s="2" t="s">
        <v>500</v>
      </c>
      <c r="O3008" s="2"/>
    </row>
    <row r="3009" spans="1:15" x14ac:dyDescent="0.25">
      <c r="A3009" s="2" t="s">
        <v>15</v>
      </c>
      <c r="B3009" s="2" t="str">
        <f>"FES1162771293"</f>
        <v>FES1162771293</v>
      </c>
      <c r="C3009" s="2" t="s">
        <v>1897</v>
      </c>
      <c r="D3009" s="2">
        <v>1</v>
      </c>
      <c r="E3009" s="2" t="str">
        <f>"2170757620"</f>
        <v>2170757620</v>
      </c>
      <c r="F3009" s="2" t="s">
        <v>17</v>
      </c>
      <c r="G3009" s="2" t="s">
        <v>18</v>
      </c>
      <c r="H3009" s="2" t="s">
        <v>19</v>
      </c>
      <c r="I3009" s="2" t="s">
        <v>20</v>
      </c>
      <c r="J3009" s="2" t="s">
        <v>21</v>
      </c>
      <c r="K3009" s="2" t="s">
        <v>1969</v>
      </c>
      <c r="L3009" s="3">
        <v>0.40069444444444446</v>
      </c>
      <c r="M3009" s="2" t="s">
        <v>2078</v>
      </c>
      <c r="N3009" s="2" t="s">
        <v>500</v>
      </c>
      <c r="O3009" s="2"/>
    </row>
    <row r="3010" spans="1:15" x14ac:dyDescent="0.25">
      <c r="A3010" s="2" t="s">
        <v>15</v>
      </c>
      <c r="B3010" s="2" t="str">
        <f>"FES1162771376"</f>
        <v>FES1162771376</v>
      </c>
      <c r="C3010" s="2" t="s">
        <v>1897</v>
      </c>
      <c r="D3010" s="2">
        <v>1</v>
      </c>
      <c r="E3010" s="2" t="str">
        <f>"2170756844"</f>
        <v>2170756844</v>
      </c>
      <c r="F3010" s="2" t="s">
        <v>17</v>
      </c>
      <c r="G3010" s="2" t="s">
        <v>18</v>
      </c>
      <c r="H3010" s="2" t="s">
        <v>25</v>
      </c>
      <c r="I3010" s="2" t="s">
        <v>26</v>
      </c>
      <c r="J3010" s="2" t="s">
        <v>367</v>
      </c>
      <c r="K3010" s="2" t="s">
        <v>1969</v>
      </c>
      <c r="L3010" s="3">
        <v>0.375</v>
      </c>
      <c r="M3010" s="2" t="s">
        <v>529</v>
      </c>
      <c r="N3010" s="2" t="s">
        <v>500</v>
      </c>
      <c r="O3010" s="2"/>
    </row>
    <row r="3011" spans="1:15" x14ac:dyDescent="0.25">
      <c r="A3011" s="2" t="s">
        <v>15</v>
      </c>
      <c r="B3011" s="2" t="str">
        <f>"FES1162771317"</f>
        <v>FES1162771317</v>
      </c>
      <c r="C3011" s="2" t="s">
        <v>1897</v>
      </c>
      <c r="D3011" s="2">
        <v>1</v>
      </c>
      <c r="E3011" s="2" t="str">
        <f>"2170758370"</f>
        <v>2170758370</v>
      </c>
      <c r="F3011" s="2" t="s">
        <v>17</v>
      </c>
      <c r="G3011" s="2" t="s">
        <v>18</v>
      </c>
      <c r="H3011" s="2" t="s">
        <v>19</v>
      </c>
      <c r="I3011" s="2" t="s">
        <v>111</v>
      </c>
      <c r="J3011" s="2" t="s">
        <v>112</v>
      </c>
      <c r="K3011" s="2" t="s">
        <v>1969</v>
      </c>
      <c r="L3011" s="3">
        <v>0.49513888888888885</v>
      </c>
      <c r="M3011" s="2" t="s">
        <v>225</v>
      </c>
      <c r="N3011" s="2" t="s">
        <v>500</v>
      </c>
      <c r="O3011" s="2"/>
    </row>
    <row r="3012" spans="1:15" x14ac:dyDescent="0.25">
      <c r="A3012" s="5" t="s">
        <v>15</v>
      </c>
      <c r="B3012" s="5" t="str">
        <f>"FES1162771078"</f>
        <v>FES1162771078</v>
      </c>
      <c r="C3012" s="5" t="s">
        <v>1897</v>
      </c>
      <c r="D3012" s="5">
        <v>1</v>
      </c>
      <c r="E3012" s="5" t="str">
        <f>"2170754960"</f>
        <v>2170754960</v>
      </c>
      <c r="F3012" s="5" t="s">
        <v>17</v>
      </c>
      <c r="G3012" s="5" t="s">
        <v>18</v>
      </c>
      <c r="H3012" s="5" t="s">
        <v>88</v>
      </c>
      <c r="I3012" s="5" t="s">
        <v>109</v>
      </c>
      <c r="J3012" s="5" t="s">
        <v>2045</v>
      </c>
      <c r="K3012" s="5" t="s">
        <v>2138</v>
      </c>
      <c r="L3012" s="5" t="s">
        <v>2228</v>
      </c>
      <c r="M3012" s="5" t="s">
        <v>2227</v>
      </c>
      <c r="N3012" s="5" t="s">
        <v>500</v>
      </c>
      <c r="O3012" s="5"/>
    </row>
    <row r="3013" spans="1:15" x14ac:dyDescent="0.25">
      <c r="A3013" s="5" t="s">
        <v>15</v>
      </c>
      <c r="B3013" s="5" t="str">
        <f>"FES1162771318"</f>
        <v>FES1162771318</v>
      </c>
      <c r="C3013" s="5" t="s">
        <v>1897</v>
      </c>
      <c r="D3013" s="5">
        <v>1</v>
      </c>
      <c r="E3013" s="5" t="str">
        <f>"2170758371"</f>
        <v>2170758371</v>
      </c>
      <c r="F3013" s="5" t="s">
        <v>17</v>
      </c>
      <c r="G3013" s="5" t="s">
        <v>18</v>
      </c>
      <c r="H3013" s="5" t="s">
        <v>18</v>
      </c>
      <c r="I3013" s="5" t="s">
        <v>57</v>
      </c>
      <c r="J3013" s="5" t="s">
        <v>910</v>
      </c>
      <c r="K3013" s="5" t="s">
        <v>1969</v>
      </c>
      <c r="L3013" s="9">
        <v>0.33958333333333335</v>
      </c>
      <c r="M3013" s="5" t="s">
        <v>2046</v>
      </c>
      <c r="N3013" s="5" t="s">
        <v>500</v>
      </c>
      <c r="O3013" s="5"/>
    </row>
    <row r="3014" spans="1:15" x14ac:dyDescent="0.25">
      <c r="A3014" s="2" t="s">
        <v>15</v>
      </c>
      <c r="B3014" s="2" t="str">
        <f>"FES1162771361"</f>
        <v>FES1162771361</v>
      </c>
      <c r="C3014" s="2" t="s">
        <v>1897</v>
      </c>
      <c r="D3014" s="2">
        <v>1</v>
      </c>
      <c r="E3014" s="2" t="str">
        <f>"2170755538"</f>
        <v>2170755538</v>
      </c>
      <c r="F3014" s="2" t="s">
        <v>17</v>
      </c>
      <c r="G3014" s="2" t="s">
        <v>18</v>
      </c>
      <c r="H3014" s="2" t="s">
        <v>36</v>
      </c>
      <c r="I3014" s="2" t="s">
        <v>67</v>
      </c>
      <c r="J3014" s="2" t="s">
        <v>68</v>
      </c>
      <c r="K3014" s="2" t="s">
        <v>1969</v>
      </c>
      <c r="L3014" s="3">
        <v>0.65416666666666667</v>
      </c>
      <c r="M3014" s="2" t="s">
        <v>2098</v>
      </c>
      <c r="N3014" s="2" t="s">
        <v>500</v>
      </c>
      <c r="O3014" s="2"/>
    </row>
    <row r="3015" spans="1:15" x14ac:dyDescent="0.25">
      <c r="A3015" s="2" t="s">
        <v>15</v>
      </c>
      <c r="B3015" s="2" t="str">
        <f>"FES1162771429"</f>
        <v>FES1162771429</v>
      </c>
      <c r="C3015" s="2" t="s">
        <v>1897</v>
      </c>
      <c r="D3015" s="2">
        <v>1</v>
      </c>
      <c r="E3015" s="2" t="str">
        <f>"2170758467"</f>
        <v>2170758467</v>
      </c>
      <c r="F3015" s="2" t="s">
        <v>17</v>
      </c>
      <c r="G3015" s="2" t="s">
        <v>18</v>
      </c>
      <c r="H3015" s="2" t="s">
        <v>25</v>
      </c>
      <c r="I3015" s="2" t="s">
        <v>26</v>
      </c>
      <c r="J3015" s="2" t="s">
        <v>44</v>
      </c>
      <c r="K3015" s="2" t="s">
        <v>1969</v>
      </c>
      <c r="L3015" s="3">
        <v>0.41666666666666669</v>
      </c>
      <c r="M3015" s="2" t="s">
        <v>181</v>
      </c>
      <c r="N3015" s="2" t="s">
        <v>500</v>
      </c>
      <c r="O3015" s="2"/>
    </row>
    <row r="3016" spans="1:15" x14ac:dyDescent="0.25">
      <c r="A3016" s="2" t="s">
        <v>15</v>
      </c>
      <c r="B3016" s="2" t="str">
        <f>"FES1162771081"</f>
        <v>FES1162771081</v>
      </c>
      <c r="C3016" s="2" t="s">
        <v>1897</v>
      </c>
      <c r="D3016" s="2">
        <v>1</v>
      </c>
      <c r="E3016" s="2" t="str">
        <f>"2170755552"</f>
        <v>2170755552</v>
      </c>
      <c r="F3016" s="2" t="s">
        <v>17</v>
      </c>
      <c r="G3016" s="2" t="s">
        <v>18</v>
      </c>
      <c r="H3016" s="2" t="s">
        <v>36</v>
      </c>
      <c r="I3016" s="2" t="s">
        <v>37</v>
      </c>
      <c r="J3016" s="2" t="s">
        <v>403</v>
      </c>
      <c r="K3016" s="2" t="s">
        <v>1969</v>
      </c>
      <c r="L3016" s="3">
        <v>0.4909722222222222</v>
      </c>
      <c r="M3016" s="2" t="s">
        <v>2099</v>
      </c>
      <c r="N3016" s="2" t="s">
        <v>500</v>
      </c>
      <c r="O3016" s="2"/>
    </row>
    <row r="3017" spans="1:15" x14ac:dyDescent="0.25">
      <c r="A3017" s="2" t="s">
        <v>15</v>
      </c>
      <c r="B3017" s="2" t="str">
        <f>"FES1162771303"</f>
        <v>FES1162771303</v>
      </c>
      <c r="C3017" s="2" t="s">
        <v>1897</v>
      </c>
      <c r="D3017" s="2">
        <v>1</v>
      </c>
      <c r="E3017" s="2" t="str">
        <f>"2170758231"</f>
        <v>2170758231</v>
      </c>
      <c r="F3017" s="2" t="s">
        <v>17</v>
      </c>
      <c r="G3017" s="2" t="s">
        <v>18</v>
      </c>
      <c r="H3017" s="2" t="s">
        <v>657</v>
      </c>
      <c r="I3017" s="2" t="s">
        <v>1806</v>
      </c>
      <c r="J3017" s="2" t="s">
        <v>1807</v>
      </c>
      <c r="K3017" s="2" t="s">
        <v>1969</v>
      </c>
      <c r="L3017" s="3">
        <v>0.35416666666666669</v>
      </c>
      <c r="M3017" s="2" t="s">
        <v>2074</v>
      </c>
      <c r="N3017" s="2" t="s">
        <v>500</v>
      </c>
      <c r="O3017" s="2"/>
    </row>
    <row r="3018" spans="1:15" x14ac:dyDescent="0.25">
      <c r="A3018" s="2" t="s">
        <v>15</v>
      </c>
      <c r="B3018" s="2" t="str">
        <f>"FES1162771338"</f>
        <v>FES1162771338</v>
      </c>
      <c r="C3018" s="2" t="s">
        <v>1897</v>
      </c>
      <c r="D3018" s="2">
        <v>1</v>
      </c>
      <c r="E3018" s="2" t="str">
        <f>"2170755630"</f>
        <v>2170755630</v>
      </c>
      <c r="F3018" s="2" t="s">
        <v>17</v>
      </c>
      <c r="G3018" s="2" t="s">
        <v>18</v>
      </c>
      <c r="H3018" s="2" t="s">
        <v>36</v>
      </c>
      <c r="I3018" s="2" t="s">
        <v>37</v>
      </c>
      <c r="J3018" s="2" t="s">
        <v>378</v>
      </c>
      <c r="K3018" s="2" t="s">
        <v>1969</v>
      </c>
      <c r="L3018" s="3">
        <v>0.40972222222222227</v>
      </c>
      <c r="M3018" s="2" t="s">
        <v>2100</v>
      </c>
      <c r="N3018" s="2" t="s">
        <v>500</v>
      </c>
      <c r="O3018" s="2"/>
    </row>
    <row r="3019" spans="1:15" x14ac:dyDescent="0.25">
      <c r="A3019" s="2" t="s">
        <v>15</v>
      </c>
      <c r="B3019" s="2" t="str">
        <f>"FES1162771419"</f>
        <v>FES1162771419</v>
      </c>
      <c r="C3019" s="2" t="s">
        <v>1897</v>
      </c>
      <c r="D3019" s="2">
        <v>1</v>
      </c>
      <c r="E3019" s="2" t="str">
        <f>"2170758455"</f>
        <v>2170758455</v>
      </c>
      <c r="F3019" s="2" t="s">
        <v>17</v>
      </c>
      <c r="G3019" s="2" t="s">
        <v>18</v>
      </c>
      <c r="H3019" s="2" t="s">
        <v>25</v>
      </c>
      <c r="I3019" s="2" t="s">
        <v>26</v>
      </c>
      <c r="J3019" s="2" t="s">
        <v>100</v>
      </c>
      <c r="K3019" s="2" t="s">
        <v>1969</v>
      </c>
      <c r="L3019" s="3">
        <v>0.3430555555555555</v>
      </c>
      <c r="M3019" s="2" t="s">
        <v>935</v>
      </c>
      <c r="N3019" s="2" t="s">
        <v>500</v>
      </c>
      <c r="O3019" s="2"/>
    </row>
    <row r="3020" spans="1:15" x14ac:dyDescent="0.25">
      <c r="A3020" s="2" t="s">
        <v>15</v>
      </c>
      <c r="B3020" s="2" t="str">
        <f>"FES1162771427"</f>
        <v>FES1162771427</v>
      </c>
      <c r="C3020" s="2" t="s">
        <v>1897</v>
      </c>
      <c r="D3020" s="2">
        <v>1</v>
      </c>
      <c r="E3020" s="2" t="str">
        <f>"2170758464"</f>
        <v>2170758464</v>
      </c>
      <c r="F3020" s="2" t="s">
        <v>17</v>
      </c>
      <c r="G3020" s="2" t="s">
        <v>18</v>
      </c>
      <c r="H3020" s="2" t="s">
        <v>18</v>
      </c>
      <c r="I3020" s="2" t="s">
        <v>46</v>
      </c>
      <c r="J3020" s="2" t="s">
        <v>59</v>
      </c>
      <c r="K3020" s="2" t="s">
        <v>1969</v>
      </c>
      <c r="L3020" s="3">
        <v>0.41666666666666669</v>
      </c>
      <c r="M3020" s="2" t="s">
        <v>2101</v>
      </c>
      <c r="N3020" s="2" t="s">
        <v>500</v>
      </c>
      <c r="O3020" s="2"/>
    </row>
    <row r="3021" spans="1:15" x14ac:dyDescent="0.25">
      <c r="A3021" s="2" t="s">
        <v>15</v>
      </c>
      <c r="B3021" s="2" t="str">
        <f>"FES1162771329"</f>
        <v>FES1162771329</v>
      </c>
      <c r="C3021" s="2" t="s">
        <v>1897</v>
      </c>
      <c r="D3021" s="2">
        <v>1</v>
      </c>
      <c r="E3021" s="2" t="str">
        <f>"2170756927"</f>
        <v>2170756927</v>
      </c>
      <c r="F3021" s="2" t="s">
        <v>17</v>
      </c>
      <c r="G3021" s="2" t="s">
        <v>18</v>
      </c>
      <c r="H3021" s="2" t="s">
        <v>19</v>
      </c>
      <c r="I3021" s="2" t="s">
        <v>20</v>
      </c>
      <c r="J3021" s="2" t="s">
        <v>447</v>
      </c>
      <c r="K3021" s="2" t="s">
        <v>1969</v>
      </c>
      <c r="L3021" s="3">
        <v>0.55902777777777779</v>
      </c>
      <c r="M3021" s="2" t="s">
        <v>2102</v>
      </c>
      <c r="N3021" s="2" t="s">
        <v>500</v>
      </c>
      <c r="O3021" s="2"/>
    </row>
    <row r="3022" spans="1:15" x14ac:dyDescent="0.25">
      <c r="A3022" s="2" t="s">
        <v>15</v>
      </c>
      <c r="B3022" s="2" t="str">
        <f>"FES1162771353"</f>
        <v>FES1162771353</v>
      </c>
      <c r="C3022" s="2" t="s">
        <v>1897</v>
      </c>
      <c r="D3022" s="2">
        <v>1</v>
      </c>
      <c r="E3022" s="2" t="str">
        <f>"2170758408"</f>
        <v>2170758408</v>
      </c>
      <c r="F3022" s="2" t="s">
        <v>17</v>
      </c>
      <c r="G3022" s="2" t="s">
        <v>18</v>
      </c>
      <c r="H3022" s="2" t="s">
        <v>78</v>
      </c>
      <c r="I3022" s="2" t="s">
        <v>79</v>
      </c>
      <c r="J3022" s="2" t="s">
        <v>113</v>
      </c>
      <c r="K3022" s="2" t="s">
        <v>1969</v>
      </c>
      <c r="L3022" s="3">
        <v>0.375</v>
      </c>
      <c r="M3022" s="2" t="s">
        <v>2103</v>
      </c>
      <c r="N3022" s="2" t="s">
        <v>500</v>
      </c>
      <c r="O3022" s="2"/>
    </row>
    <row r="3023" spans="1:15" x14ac:dyDescent="0.25">
      <c r="A3023" s="2" t="s">
        <v>15</v>
      </c>
      <c r="B3023" s="2" t="str">
        <f>"FES1162771433"</f>
        <v>FES1162771433</v>
      </c>
      <c r="C3023" s="2" t="s">
        <v>1897</v>
      </c>
      <c r="D3023" s="2">
        <v>1</v>
      </c>
      <c r="E3023" s="2" t="str">
        <f>"2170758471"</f>
        <v>2170758471</v>
      </c>
      <c r="F3023" s="2" t="s">
        <v>17</v>
      </c>
      <c r="G3023" s="2" t="s">
        <v>18</v>
      </c>
      <c r="H3023" s="2" t="s">
        <v>30</v>
      </c>
      <c r="I3023" s="2" t="s">
        <v>444</v>
      </c>
      <c r="J3023" s="2" t="s">
        <v>488</v>
      </c>
      <c r="K3023" s="2" t="s">
        <v>1969</v>
      </c>
      <c r="L3023" s="3">
        <v>0.44791666666666669</v>
      </c>
      <c r="M3023" s="2" t="s">
        <v>1914</v>
      </c>
      <c r="N3023" s="2" t="s">
        <v>500</v>
      </c>
      <c r="O3023" s="2"/>
    </row>
    <row r="3024" spans="1:15" x14ac:dyDescent="0.25">
      <c r="A3024" s="2" t="s">
        <v>15</v>
      </c>
      <c r="B3024" s="2" t="str">
        <f>"FES1162771415"</f>
        <v>FES1162771415</v>
      </c>
      <c r="C3024" s="2" t="s">
        <v>1897</v>
      </c>
      <c r="D3024" s="2">
        <v>1</v>
      </c>
      <c r="E3024" s="2" t="str">
        <f>"2170758450"</f>
        <v>2170758450</v>
      </c>
      <c r="F3024" s="2" t="s">
        <v>17</v>
      </c>
      <c r="G3024" s="2" t="s">
        <v>18</v>
      </c>
      <c r="H3024" s="2" t="s">
        <v>19</v>
      </c>
      <c r="I3024" s="2" t="s">
        <v>20</v>
      </c>
      <c r="J3024" s="2" t="s">
        <v>21</v>
      </c>
      <c r="K3024" s="2" t="s">
        <v>1969</v>
      </c>
      <c r="L3024" s="3">
        <v>0.40069444444444446</v>
      </c>
      <c r="M3024" s="2" t="s">
        <v>2078</v>
      </c>
      <c r="N3024" s="2" t="s">
        <v>500</v>
      </c>
      <c r="O3024" s="2"/>
    </row>
    <row r="3025" spans="1:15" x14ac:dyDescent="0.25">
      <c r="A3025" s="2" t="s">
        <v>15</v>
      </c>
      <c r="B3025" s="2" t="str">
        <f>"FES1162771417"</f>
        <v>FES1162771417</v>
      </c>
      <c r="C3025" s="2" t="s">
        <v>1897</v>
      </c>
      <c r="D3025" s="2">
        <v>1</v>
      </c>
      <c r="E3025" s="2" t="str">
        <f>"2170758453"</f>
        <v>2170758453</v>
      </c>
      <c r="F3025" s="2" t="s">
        <v>17</v>
      </c>
      <c r="G3025" s="2" t="s">
        <v>18</v>
      </c>
      <c r="H3025" s="2" t="s">
        <v>19</v>
      </c>
      <c r="I3025" s="2" t="s">
        <v>20</v>
      </c>
      <c r="J3025" s="2" t="s">
        <v>21</v>
      </c>
      <c r="K3025" s="2" t="s">
        <v>1969</v>
      </c>
      <c r="L3025" s="3">
        <v>0.40069444444444446</v>
      </c>
      <c r="M3025" s="2" t="s">
        <v>2078</v>
      </c>
      <c r="N3025" s="2" t="s">
        <v>500</v>
      </c>
      <c r="O3025" s="2"/>
    </row>
    <row r="3026" spans="1:15" x14ac:dyDescent="0.25">
      <c r="A3026" s="2" t="s">
        <v>15</v>
      </c>
      <c r="B3026" s="2" t="str">
        <f>"FES1162771371"</f>
        <v>FES1162771371</v>
      </c>
      <c r="C3026" s="2" t="s">
        <v>1897</v>
      </c>
      <c r="D3026" s="2">
        <v>1</v>
      </c>
      <c r="E3026" s="2" t="str">
        <f>"2170756618"</f>
        <v>2170756618</v>
      </c>
      <c r="F3026" s="2" t="s">
        <v>17</v>
      </c>
      <c r="G3026" s="2" t="s">
        <v>18</v>
      </c>
      <c r="H3026" s="2" t="s">
        <v>19</v>
      </c>
      <c r="I3026" s="2" t="s">
        <v>73</v>
      </c>
      <c r="J3026" s="2" t="s">
        <v>76</v>
      </c>
      <c r="K3026" s="2" t="s">
        <v>1969</v>
      </c>
      <c r="L3026" s="3">
        <v>0.39861111111111108</v>
      </c>
      <c r="M3026" s="2" t="s">
        <v>197</v>
      </c>
      <c r="N3026" s="2" t="s">
        <v>500</v>
      </c>
      <c r="O3026" s="2"/>
    </row>
    <row r="3027" spans="1:15" x14ac:dyDescent="0.25">
      <c r="A3027" s="2" t="s">
        <v>15</v>
      </c>
      <c r="B3027" s="2" t="str">
        <f>"FES1162771282"</f>
        <v>FES1162771282</v>
      </c>
      <c r="C3027" s="2" t="s">
        <v>1897</v>
      </c>
      <c r="D3027" s="2">
        <v>1</v>
      </c>
      <c r="E3027" s="2" t="str">
        <f>"2170754281"</f>
        <v>2170754281</v>
      </c>
      <c r="F3027" s="2" t="s">
        <v>17</v>
      </c>
      <c r="G3027" s="2" t="s">
        <v>18</v>
      </c>
      <c r="H3027" s="2" t="s">
        <v>88</v>
      </c>
      <c r="I3027" s="2" t="s">
        <v>109</v>
      </c>
      <c r="J3027" s="2" t="s">
        <v>275</v>
      </c>
      <c r="K3027" s="2" t="s">
        <v>1969</v>
      </c>
      <c r="L3027" s="3">
        <v>0.41666666666666669</v>
      </c>
      <c r="M3027" s="2" t="s">
        <v>2104</v>
      </c>
      <c r="N3027" s="2" t="s">
        <v>500</v>
      </c>
      <c r="O3027" s="2"/>
    </row>
    <row r="3028" spans="1:15" x14ac:dyDescent="0.25">
      <c r="A3028" s="2" t="s">
        <v>15</v>
      </c>
      <c r="B3028" s="2" t="str">
        <f>"FES1162771348"</f>
        <v>FES1162771348</v>
      </c>
      <c r="C3028" s="2" t="s">
        <v>1897</v>
      </c>
      <c r="D3028" s="2">
        <v>1</v>
      </c>
      <c r="E3028" s="2" t="str">
        <f>"2170758402"</f>
        <v>2170758402</v>
      </c>
      <c r="F3028" s="2" t="s">
        <v>17</v>
      </c>
      <c r="G3028" s="2" t="s">
        <v>18</v>
      </c>
      <c r="H3028" s="2" t="s">
        <v>19</v>
      </c>
      <c r="I3028" s="2" t="s">
        <v>111</v>
      </c>
      <c r="J3028" s="2" t="s">
        <v>2047</v>
      </c>
      <c r="K3028" s="2" t="s">
        <v>1969</v>
      </c>
      <c r="L3028" s="3">
        <v>0.4513888888888889</v>
      </c>
      <c r="M3028" s="2" t="s">
        <v>2105</v>
      </c>
      <c r="N3028" s="2" t="s">
        <v>500</v>
      </c>
      <c r="O3028" s="2"/>
    </row>
    <row r="3029" spans="1:15" x14ac:dyDescent="0.25">
      <c r="A3029" s="2" t="s">
        <v>15</v>
      </c>
      <c r="B3029" s="2" t="str">
        <f>"FES1162771426"</f>
        <v>FES1162771426</v>
      </c>
      <c r="C3029" s="2" t="s">
        <v>1897</v>
      </c>
      <c r="D3029" s="2">
        <v>1</v>
      </c>
      <c r="E3029" s="2" t="str">
        <f>"2170758463"</f>
        <v>2170758463</v>
      </c>
      <c r="F3029" s="2" t="s">
        <v>17</v>
      </c>
      <c r="G3029" s="2" t="s">
        <v>18</v>
      </c>
      <c r="H3029" s="2" t="s">
        <v>18</v>
      </c>
      <c r="I3029" s="2" t="s">
        <v>63</v>
      </c>
      <c r="J3029" s="2" t="s">
        <v>2048</v>
      </c>
      <c r="K3029" s="2" t="s">
        <v>1969</v>
      </c>
      <c r="L3029" s="3">
        <v>0.4375</v>
      </c>
      <c r="M3029" s="2" t="s">
        <v>2106</v>
      </c>
      <c r="N3029" s="2" t="s">
        <v>500</v>
      </c>
      <c r="O3029" s="2"/>
    </row>
    <row r="3030" spans="1:15" x14ac:dyDescent="0.25">
      <c r="A3030" s="2" t="s">
        <v>15</v>
      </c>
      <c r="B3030" s="2" t="str">
        <f>"FES1162771328"</f>
        <v>FES1162771328</v>
      </c>
      <c r="C3030" s="2" t="s">
        <v>1897</v>
      </c>
      <c r="D3030" s="2">
        <v>1</v>
      </c>
      <c r="E3030" s="2" t="str">
        <f>"2170758392"</f>
        <v>2170758392</v>
      </c>
      <c r="F3030" s="2" t="s">
        <v>17</v>
      </c>
      <c r="G3030" s="2" t="s">
        <v>18</v>
      </c>
      <c r="H3030" s="2" t="s">
        <v>88</v>
      </c>
      <c r="I3030" s="2" t="s">
        <v>109</v>
      </c>
      <c r="J3030" s="2" t="s">
        <v>2049</v>
      </c>
      <c r="K3030" s="2" t="s">
        <v>1969</v>
      </c>
      <c r="L3030" s="3">
        <v>0.41666666666666669</v>
      </c>
      <c r="M3030" s="2" t="s">
        <v>2107</v>
      </c>
      <c r="N3030" s="2" t="s">
        <v>500</v>
      </c>
      <c r="O3030" s="2"/>
    </row>
    <row r="3031" spans="1:15" x14ac:dyDescent="0.25">
      <c r="A3031" s="2" t="s">
        <v>15</v>
      </c>
      <c r="B3031" s="2" t="str">
        <f>"FES1162771411"</f>
        <v>FES1162771411</v>
      </c>
      <c r="C3031" s="2" t="s">
        <v>1897</v>
      </c>
      <c r="D3031" s="2">
        <v>1</v>
      </c>
      <c r="E3031" s="2" t="str">
        <f>"2170758439"</f>
        <v>2170758439</v>
      </c>
      <c r="F3031" s="2" t="s">
        <v>17</v>
      </c>
      <c r="G3031" s="2" t="s">
        <v>18</v>
      </c>
      <c r="H3031" s="2" t="s">
        <v>18</v>
      </c>
      <c r="I3031" s="2" t="s">
        <v>63</v>
      </c>
      <c r="J3031" s="2" t="s">
        <v>607</v>
      </c>
      <c r="K3031" s="2" t="s">
        <v>1969</v>
      </c>
      <c r="L3031" s="3">
        <v>0.375</v>
      </c>
      <c r="M3031" s="2" t="s">
        <v>2108</v>
      </c>
      <c r="N3031" s="2" t="s">
        <v>500</v>
      </c>
      <c r="O3031" s="2"/>
    </row>
    <row r="3032" spans="1:15" x14ac:dyDescent="0.25">
      <c r="A3032" s="2" t="s">
        <v>15</v>
      </c>
      <c r="B3032" s="2" t="str">
        <f>"FES1162771347"</f>
        <v>FES1162771347</v>
      </c>
      <c r="C3032" s="2" t="s">
        <v>1897</v>
      </c>
      <c r="D3032" s="2">
        <v>1</v>
      </c>
      <c r="E3032" s="2" t="str">
        <f>"2170758398"</f>
        <v>2170758398</v>
      </c>
      <c r="F3032" s="2" t="s">
        <v>17</v>
      </c>
      <c r="G3032" s="2" t="s">
        <v>18</v>
      </c>
      <c r="H3032" s="2" t="s">
        <v>36</v>
      </c>
      <c r="I3032" s="2" t="s">
        <v>37</v>
      </c>
      <c r="J3032" s="2" t="s">
        <v>403</v>
      </c>
      <c r="K3032" s="2" t="s">
        <v>1969</v>
      </c>
      <c r="L3032" s="3">
        <v>0.4069444444444445</v>
      </c>
      <c r="M3032" s="2" t="s">
        <v>2099</v>
      </c>
      <c r="N3032" s="2" t="s">
        <v>500</v>
      </c>
      <c r="O3032" s="2"/>
    </row>
    <row r="3033" spans="1:15" x14ac:dyDescent="0.25">
      <c r="A3033" s="2" t="s">
        <v>15</v>
      </c>
      <c r="B3033" s="2" t="str">
        <f>"FES1162771324"</f>
        <v>FES1162771324</v>
      </c>
      <c r="C3033" s="2" t="s">
        <v>1897</v>
      </c>
      <c r="D3033" s="2">
        <v>1</v>
      </c>
      <c r="E3033" s="2" t="str">
        <f>"2170758380"</f>
        <v>2170758380</v>
      </c>
      <c r="F3033" s="2" t="s">
        <v>17</v>
      </c>
      <c r="G3033" s="2" t="s">
        <v>18</v>
      </c>
      <c r="H3033" s="2" t="s">
        <v>36</v>
      </c>
      <c r="I3033" s="2" t="s">
        <v>37</v>
      </c>
      <c r="J3033" s="2" t="s">
        <v>2050</v>
      </c>
      <c r="K3033" s="2" t="s">
        <v>1969</v>
      </c>
      <c r="L3033" s="3">
        <v>0.40486111111111112</v>
      </c>
      <c r="M3033" s="2" t="s">
        <v>1178</v>
      </c>
      <c r="N3033" s="2" t="s">
        <v>500</v>
      </c>
      <c r="O3033" s="2"/>
    </row>
    <row r="3034" spans="1:15" x14ac:dyDescent="0.25">
      <c r="A3034" s="5" t="s">
        <v>15</v>
      </c>
      <c r="B3034" s="5" t="str">
        <f>"FES1162771287"</f>
        <v>FES1162771287</v>
      </c>
      <c r="C3034" s="5" t="s">
        <v>1897</v>
      </c>
      <c r="D3034" s="5">
        <v>1</v>
      </c>
      <c r="E3034" s="5" t="str">
        <f>"2170756980"</f>
        <v>2170756980</v>
      </c>
      <c r="F3034" s="5" t="s">
        <v>17</v>
      </c>
      <c r="G3034" s="5" t="s">
        <v>18</v>
      </c>
      <c r="H3034" s="5" t="s">
        <v>88</v>
      </c>
      <c r="I3034" s="5" t="s">
        <v>612</v>
      </c>
      <c r="J3034" s="5" t="s">
        <v>1126</v>
      </c>
      <c r="K3034" s="5" t="s">
        <v>2197</v>
      </c>
      <c r="L3034" s="9">
        <v>0.62916666666666665</v>
      </c>
      <c r="M3034" s="5" t="s">
        <v>2311</v>
      </c>
      <c r="N3034" s="5" t="s">
        <v>500</v>
      </c>
      <c r="O3034" s="5"/>
    </row>
    <row r="3035" spans="1:15" x14ac:dyDescent="0.25">
      <c r="A3035" s="2" t="s">
        <v>15</v>
      </c>
      <c r="B3035" s="2" t="str">
        <f>"FES1162771404"</f>
        <v>FES1162771404</v>
      </c>
      <c r="C3035" s="2" t="s">
        <v>1897</v>
      </c>
      <c r="D3035" s="2">
        <v>1</v>
      </c>
      <c r="E3035" s="2" t="str">
        <f>"2170758431"</f>
        <v>2170758431</v>
      </c>
      <c r="F3035" s="2" t="s">
        <v>17</v>
      </c>
      <c r="G3035" s="2" t="s">
        <v>18</v>
      </c>
      <c r="H3035" s="2" t="s">
        <v>33</v>
      </c>
      <c r="I3035" s="2" t="s">
        <v>34</v>
      </c>
      <c r="J3035" s="2" t="s">
        <v>868</v>
      </c>
      <c r="K3035" s="2" t="s">
        <v>1969</v>
      </c>
      <c r="L3035" s="3">
        <v>0.43333333333333335</v>
      </c>
      <c r="M3035" s="2" t="s">
        <v>861</v>
      </c>
      <c r="N3035" s="2" t="s">
        <v>500</v>
      </c>
      <c r="O3035" s="2"/>
    </row>
    <row r="3036" spans="1:15" x14ac:dyDescent="0.25">
      <c r="A3036" s="2" t="s">
        <v>15</v>
      </c>
      <c r="B3036" s="2" t="str">
        <f>"FES1162771316"</f>
        <v>FES1162771316</v>
      </c>
      <c r="C3036" s="2" t="s">
        <v>1897</v>
      </c>
      <c r="D3036" s="2">
        <v>1</v>
      </c>
      <c r="E3036" s="2" t="str">
        <f>"2170758368"</f>
        <v>2170758368</v>
      </c>
      <c r="F3036" s="2" t="s">
        <v>17</v>
      </c>
      <c r="G3036" s="2" t="s">
        <v>18</v>
      </c>
      <c r="H3036" s="2" t="s">
        <v>36</v>
      </c>
      <c r="I3036" s="2" t="s">
        <v>67</v>
      </c>
      <c r="J3036" s="2" t="s">
        <v>650</v>
      </c>
      <c r="K3036" s="2" t="s">
        <v>1969</v>
      </c>
      <c r="L3036" s="3">
        <v>0.375</v>
      </c>
      <c r="M3036" s="2" t="s">
        <v>2109</v>
      </c>
      <c r="N3036" s="2" t="s">
        <v>500</v>
      </c>
      <c r="O3036" s="2"/>
    </row>
    <row r="3037" spans="1:15" x14ac:dyDescent="0.25">
      <c r="A3037" s="2" t="s">
        <v>15</v>
      </c>
      <c r="B3037" s="2" t="str">
        <f>"FES1162771434"</f>
        <v>FES1162771434</v>
      </c>
      <c r="C3037" s="2" t="s">
        <v>1897</v>
      </c>
      <c r="D3037" s="2">
        <v>1</v>
      </c>
      <c r="E3037" s="2" t="str">
        <f>"2170758472"</f>
        <v>2170758472</v>
      </c>
      <c r="F3037" s="2" t="s">
        <v>17</v>
      </c>
      <c r="G3037" s="2" t="s">
        <v>18</v>
      </c>
      <c r="H3037" s="2" t="s">
        <v>18</v>
      </c>
      <c r="I3037" s="2" t="s">
        <v>50</v>
      </c>
      <c r="J3037" s="2" t="s">
        <v>51</v>
      </c>
      <c r="K3037" s="2" t="s">
        <v>1969</v>
      </c>
      <c r="L3037" s="3">
        <v>0.41666666666666669</v>
      </c>
      <c r="M3037" s="2" t="s">
        <v>2110</v>
      </c>
      <c r="N3037" s="2" t="s">
        <v>500</v>
      </c>
      <c r="O3037" s="2"/>
    </row>
    <row r="3038" spans="1:15" x14ac:dyDescent="0.25">
      <c r="A3038" s="2" t="s">
        <v>15</v>
      </c>
      <c r="B3038" s="2" t="str">
        <f>"FES1162771437"</f>
        <v>FES1162771437</v>
      </c>
      <c r="C3038" s="2" t="s">
        <v>1897</v>
      </c>
      <c r="D3038" s="2">
        <v>1</v>
      </c>
      <c r="E3038" s="2" t="str">
        <f>"2170757505"</f>
        <v>2170757505</v>
      </c>
      <c r="F3038" s="2" t="s">
        <v>17</v>
      </c>
      <c r="G3038" s="2" t="s">
        <v>18</v>
      </c>
      <c r="H3038" s="2" t="s">
        <v>18</v>
      </c>
      <c r="I3038" s="2" t="s">
        <v>57</v>
      </c>
      <c r="J3038" s="2" t="s">
        <v>906</v>
      </c>
      <c r="K3038" s="2" t="s">
        <v>1969</v>
      </c>
      <c r="L3038" s="3">
        <v>0.32291666666666669</v>
      </c>
      <c r="M3038" s="2" t="s">
        <v>1070</v>
      </c>
      <c r="N3038" s="2" t="s">
        <v>500</v>
      </c>
      <c r="O3038" s="2"/>
    </row>
    <row r="3039" spans="1:15" x14ac:dyDescent="0.25">
      <c r="A3039" s="2" t="s">
        <v>15</v>
      </c>
      <c r="B3039" s="2" t="str">
        <f>"FES1162771300"</f>
        <v>FES1162771300</v>
      </c>
      <c r="C3039" s="2" t="s">
        <v>1897</v>
      </c>
      <c r="D3039" s="2">
        <v>1</v>
      </c>
      <c r="E3039" s="2" t="str">
        <f>"2170758082"</f>
        <v>2170758082</v>
      </c>
      <c r="F3039" s="2" t="s">
        <v>17</v>
      </c>
      <c r="G3039" s="2" t="s">
        <v>18</v>
      </c>
      <c r="H3039" s="2" t="s">
        <v>33</v>
      </c>
      <c r="I3039" s="2" t="s">
        <v>34</v>
      </c>
      <c r="J3039" s="2" t="s">
        <v>317</v>
      </c>
      <c r="K3039" s="2" t="s">
        <v>1969</v>
      </c>
      <c r="L3039" s="3">
        <v>0.43333333333333335</v>
      </c>
      <c r="M3039" s="2" t="s">
        <v>2111</v>
      </c>
      <c r="N3039" s="2" t="s">
        <v>500</v>
      </c>
      <c r="O3039" s="2"/>
    </row>
    <row r="3040" spans="1:15" x14ac:dyDescent="0.25">
      <c r="A3040" s="2" t="s">
        <v>15</v>
      </c>
      <c r="B3040" s="2" t="str">
        <f>"FES1162771301"</f>
        <v>FES1162771301</v>
      </c>
      <c r="C3040" s="2" t="s">
        <v>1897</v>
      </c>
      <c r="D3040" s="2">
        <v>1</v>
      </c>
      <c r="E3040" s="2" t="str">
        <f>"2170758179"</f>
        <v>2170758179</v>
      </c>
      <c r="F3040" s="2" t="s">
        <v>17</v>
      </c>
      <c r="G3040" s="2" t="s">
        <v>18</v>
      </c>
      <c r="H3040" s="2" t="s">
        <v>36</v>
      </c>
      <c r="I3040" s="2" t="s">
        <v>67</v>
      </c>
      <c r="J3040" s="2" t="s">
        <v>72</v>
      </c>
      <c r="K3040" s="2" t="s">
        <v>1969</v>
      </c>
      <c r="L3040" s="3">
        <v>0.37152777777777773</v>
      </c>
      <c r="M3040" s="2" t="s">
        <v>194</v>
      </c>
      <c r="N3040" s="2" t="s">
        <v>500</v>
      </c>
      <c r="O3040" s="2"/>
    </row>
    <row r="3041" spans="1:15" x14ac:dyDescent="0.25">
      <c r="A3041" s="5" t="s">
        <v>15</v>
      </c>
      <c r="B3041" s="5" t="str">
        <f>"FES1162771344"</f>
        <v>FES1162771344</v>
      </c>
      <c r="C3041" s="5" t="s">
        <v>1897</v>
      </c>
      <c r="D3041" s="5">
        <v>1</v>
      </c>
      <c r="E3041" s="5" t="str">
        <f>"2170758400"</f>
        <v>2170758400</v>
      </c>
      <c r="F3041" s="5" t="s">
        <v>17</v>
      </c>
      <c r="G3041" s="5" t="s">
        <v>18</v>
      </c>
      <c r="H3041" s="5" t="s">
        <v>36</v>
      </c>
      <c r="I3041" s="5" t="s">
        <v>1129</v>
      </c>
      <c r="J3041" s="5" t="s">
        <v>1130</v>
      </c>
      <c r="K3041" s="5" t="s">
        <v>1969</v>
      </c>
      <c r="L3041" s="9">
        <v>0.65625</v>
      </c>
      <c r="M3041" s="5" t="s">
        <v>2312</v>
      </c>
      <c r="N3041" s="5" t="s">
        <v>500</v>
      </c>
      <c r="O3041" s="5" t="s">
        <v>2222</v>
      </c>
    </row>
    <row r="3042" spans="1:15" x14ac:dyDescent="0.25">
      <c r="A3042" s="14" t="s">
        <v>15</v>
      </c>
      <c r="B3042" s="14" t="str">
        <f>"FES1162771410"</f>
        <v>FES1162771410</v>
      </c>
      <c r="C3042" s="14" t="s">
        <v>1897</v>
      </c>
      <c r="D3042" s="14">
        <v>1</v>
      </c>
      <c r="E3042" s="14" t="str">
        <f>"2170758438"</f>
        <v>2170758438</v>
      </c>
      <c r="F3042" s="14" t="s">
        <v>17</v>
      </c>
      <c r="G3042" s="14" t="s">
        <v>18</v>
      </c>
      <c r="H3042" s="14" t="s">
        <v>33</v>
      </c>
      <c r="I3042" s="14" t="s">
        <v>2051</v>
      </c>
      <c r="J3042" s="14" t="s">
        <v>2052</v>
      </c>
      <c r="K3042" s="14" t="s">
        <v>1969</v>
      </c>
      <c r="L3042" s="14"/>
      <c r="M3042" s="14" t="s">
        <v>23</v>
      </c>
      <c r="N3042" s="14" t="s">
        <v>175</v>
      </c>
      <c r="O3042" s="14" t="s">
        <v>2222</v>
      </c>
    </row>
    <row r="3043" spans="1:15" x14ac:dyDescent="0.25">
      <c r="A3043" s="2" t="s">
        <v>15</v>
      </c>
      <c r="B3043" s="2" t="str">
        <f>"FES1162771295"</f>
        <v>FES1162771295</v>
      </c>
      <c r="C3043" s="2" t="s">
        <v>1897</v>
      </c>
      <c r="D3043" s="2">
        <v>1</v>
      </c>
      <c r="E3043" s="2" t="str">
        <f>"2170757990"</f>
        <v>2170757990</v>
      </c>
      <c r="F3043" s="2" t="s">
        <v>17</v>
      </c>
      <c r="G3043" s="2" t="s">
        <v>18</v>
      </c>
      <c r="H3043" s="2" t="s">
        <v>36</v>
      </c>
      <c r="I3043" s="2" t="s">
        <v>37</v>
      </c>
      <c r="J3043" s="2" t="s">
        <v>467</v>
      </c>
      <c r="K3043" s="2" t="s">
        <v>1969</v>
      </c>
      <c r="L3043" s="3">
        <v>0.33680555555555558</v>
      </c>
      <c r="M3043" s="2" t="s">
        <v>2077</v>
      </c>
      <c r="N3043" s="2" t="s">
        <v>500</v>
      </c>
      <c r="O3043" s="2"/>
    </row>
    <row r="3044" spans="1:15" x14ac:dyDescent="0.25">
      <c r="A3044" s="2" t="s">
        <v>15</v>
      </c>
      <c r="B3044" s="2" t="str">
        <f>"FES1162771449"</f>
        <v>FES1162771449</v>
      </c>
      <c r="C3044" s="2" t="s">
        <v>1897</v>
      </c>
      <c r="D3044" s="2">
        <v>1</v>
      </c>
      <c r="E3044" s="2" t="str">
        <f>"2170758494"</f>
        <v>2170758494</v>
      </c>
      <c r="F3044" s="2" t="s">
        <v>17</v>
      </c>
      <c r="G3044" s="2" t="s">
        <v>18</v>
      </c>
      <c r="H3044" s="2" t="s">
        <v>25</v>
      </c>
      <c r="I3044" s="2" t="s">
        <v>26</v>
      </c>
      <c r="J3044" s="2" t="s">
        <v>94</v>
      </c>
      <c r="K3044" s="2" t="s">
        <v>1969</v>
      </c>
      <c r="L3044" s="3">
        <v>0.41666666666666669</v>
      </c>
      <c r="M3044" s="2" t="s">
        <v>1114</v>
      </c>
      <c r="N3044" s="2" t="s">
        <v>500</v>
      </c>
      <c r="O3044" s="2"/>
    </row>
    <row r="3045" spans="1:15" x14ac:dyDescent="0.25">
      <c r="A3045" s="2" t="s">
        <v>15</v>
      </c>
      <c r="B3045" s="2" t="str">
        <f>"FES1162771350"</f>
        <v>FES1162771350</v>
      </c>
      <c r="C3045" s="2" t="s">
        <v>1897</v>
      </c>
      <c r="D3045" s="2">
        <v>1</v>
      </c>
      <c r="E3045" s="2" t="str">
        <f>"2170758405"</f>
        <v>2170758405</v>
      </c>
      <c r="F3045" s="2" t="s">
        <v>17</v>
      </c>
      <c r="G3045" s="2" t="s">
        <v>18</v>
      </c>
      <c r="H3045" s="2" t="s">
        <v>88</v>
      </c>
      <c r="I3045" s="2" t="s">
        <v>109</v>
      </c>
      <c r="J3045" s="2" t="s">
        <v>2053</v>
      </c>
      <c r="K3045" s="2" t="s">
        <v>1969</v>
      </c>
      <c r="L3045" s="3">
        <v>0.43541666666666662</v>
      </c>
      <c r="M3045" s="2" t="s">
        <v>2112</v>
      </c>
      <c r="N3045" s="2" t="s">
        <v>500</v>
      </c>
      <c r="O3045" s="2"/>
    </row>
    <row r="3046" spans="1:15" x14ac:dyDescent="0.25">
      <c r="A3046" s="2" t="s">
        <v>15</v>
      </c>
      <c r="B3046" s="2" t="str">
        <f>"FES1162771313"</f>
        <v>FES1162771313</v>
      </c>
      <c r="C3046" s="2" t="s">
        <v>1897</v>
      </c>
      <c r="D3046" s="2">
        <v>1</v>
      </c>
      <c r="E3046" s="2" t="str">
        <f>"2170758363"</f>
        <v>2170758363</v>
      </c>
      <c r="F3046" s="2" t="s">
        <v>17</v>
      </c>
      <c r="G3046" s="2" t="s">
        <v>18</v>
      </c>
      <c r="H3046" s="2" t="s">
        <v>18</v>
      </c>
      <c r="I3046" s="2" t="s">
        <v>63</v>
      </c>
      <c r="J3046" s="2" t="s">
        <v>93</v>
      </c>
      <c r="K3046" s="2" t="s">
        <v>1969</v>
      </c>
      <c r="L3046" s="3">
        <v>0.38611111111111113</v>
      </c>
      <c r="M3046" s="2" t="s">
        <v>210</v>
      </c>
      <c r="N3046" s="2" t="s">
        <v>500</v>
      </c>
      <c r="O3046" s="2"/>
    </row>
    <row r="3047" spans="1:15" x14ac:dyDescent="0.25">
      <c r="A3047" s="2" t="s">
        <v>15</v>
      </c>
      <c r="B3047" s="2" t="str">
        <f>"FES1162771464"</f>
        <v>FES1162771464</v>
      </c>
      <c r="C3047" s="2" t="s">
        <v>1897</v>
      </c>
      <c r="D3047" s="2">
        <v>1</v>
      </c>
      <c r="E3047" s="2" t="str">
        <f>"2170758508"</f>
        <v>2170758508</v>
      </c>
      <c r="F3047" s="2" t="s">
        <v>17</v>
      </c>
      <c r="G3047" s="2" t="s">
        <v>18</v>
      </c>
      <c r="H3047" s="2" t="s">
        <v>78</v>
      </c>
      <c r="I3047" s="2" t="s">
        <v>79</v>
      </c>
      <c r="J3047" s="2" t="s">
        <v>446</v>
      </c>
      <c r="K3047" s="2" t="s">
        <v>1969</v>
      </c>
      <c r="L3047" s="3">
        <v>0.39861111111111108</v>
      </c>
      <c r="M3047" s="2" t="s">
        <v>199</v>
      </c>
      <c r="N3047" s="2" t="s">
        <v>500</v>
      </c>
      <c r="O3047" s="2"/>
    </row>
    <row r="3048" spans="1:15" x14ac:dyDescent="0.25">
      <c r="A3048" s="2" t="s">
        <v>15</v>
      </c>
      <c r="B3048" s="2" t="str">
        <f>"FES1162771421"</f>
        <v>FES1162771421</v>
      </c>
      <c r="C3048" s="2" t="s">
        <v>1897</v>
      </c>
      <c r="D3048" s="2">
        <v>1</v>
      </c>
      <c r="E3048" s="2" t="str">
        <f>"2170758460"</f>
        <v>2170758460</v>
      </c>
      <c r="F3048" s="2" t="s">
        <v>17</v>
      </c>
      <c r="G3048" s="2" t="s">
        <v>18</v>
      </c>
      <c r="H3048" s="2" t="s">
        <v>19</v>
      </c>
      <c r="I3048" s="2" t="s">
        <v>269</v>
      </c>
      <c r="J3048" s="2" t="s">
        <v>655</v>
      </c>
      <c r="K3048" s="2" t="s">
        <v>1969</v>
      </c>
      <c r="L3048" s="3">
        <v>0.36805555555555558</v>
      </c>
      <c r="M3048" s="2" t="s">
        <v>2079</v>
      </c>
      <c r="N3048" s="2" t="s">
        <v>500</v>
      </c>
      <c r="O3048" s="2"/>
    </row>
    <row r="3049" spans="1:15" x14ac:dyDescent="0.25">
      <c r="A3049" s="2" t="s">
        <v>15</v>
      </c>
      <c r="B3049" s="2" t="str">
        <f>"FES1162771461"</f>
        <v>FES1162771461</v>
      </c>
      <c r="C3049" s="2" t="s">
        <v>1897</v>
      </c>
      <c r="D3049" s="2">
        <v>1</v>
      </c>
      <c r="E3049" s="2" t="str">
        <f>"2170758504"</f>
        <v>2170758504</v>
      </c>
      <c r="F3049" s="2" t="s">
        <v>17</v>
      </c>
      <c r="G3049" s="2" t="s">
        <v>18</v>
      </c>
      <c r="H3049" s="2" t="s">
        <v>25</v>
      </c>
      <c r="I3049" s="2" t="s">
        <v>42</v>
      </c>
      <c r="J3049" s="2" t="s">
        <v>43</v>
      </c>
      <c r="K3049" s="2" t="s">
        <v>1969</v>
      </c>
      <c r="L3049" s="3">
        <v>0.49513888888888885</v>
      </c>
      <c r="M3049" s="2" t="s">
        <v>180</v>
      </c>
      <c r="N3049" s="2" t="s">
        <v>500</v>
      </c>
      <c r="O3049" s="2"/>
    </row>
    <row r="3050" spans="1:15" x14ac:dyDescent="0.25">
      <c r="A3050" s="5" t="s">
        <v>15</v>
      </c>
      <c r="B3050" s="5" t="str">
        <f>"FES1162771345"</f>
        <v>FES1162771345</v>
      </c>
      <c r="C3050" s="5" t="s">
        <v>1897</v>
      </c>
      <c r="D3050" s="5">
        <v>1</v>
      </c>
      <c r="E3050" s="5" t="str">
        <f>"2170758401"</f>
        <v>2170758401</v>
      </c>
      <c r="F3050" s="5" t="s">
        <v>17</v>
      </c>
      <c r="G3050" s="5" t="s">
        <v>18</v>
      </c>
      <c r="H3050" s="5" t="s">
        <v>484</v>
      </c>
      <c r="I3050" s="5" t="s">
        <v>485</v>
      </c>
      <c r="J3050" s="5" t="s">
        <v>1289</v>
      </c>
      <c r="K3050" s="5" t="s">
        <v>2138</v>
      </c>
      <c r="L3050" s="5" t="s">
        <v>2226</v>
      </c>
      <c r="M3050" s="5" t="s">
        <v>2225</v>
      </c>
      <c r="N3050" s="5" t="s">
        <v>500</v>
      </c>
      <c r="O3050" s="5"/>
    </row>
    <row r="3051" spans="1:15" x14ac:dyDescent="0.25">
      <c r="A3051" s="5" t="s">
        <v>15</v>
      </c>
      <c r="B3051" s="5" t="str">
        <f>"FES1162771288"</f>
        <v>FES1162771288</v>
      </c>
      <c r="C3051" s="5" t="s">
        <v>1897</v>
      </c>
      <c r="D3051" s="5">
        <v>1</v>
      </c>
      <c r="E3051" s="5" t="str">
        <f>"2170757004"</f>
        <v>2170757004</v>
      </c>
      <c r="F3051" s="5" t="s">
        <v>17</v>
      </c>
      <c r="G3051" s="5" t="s">
        <v>18</v>
      </c>
      <c r="H3051" s="5" t="s">
        <v>18</v>
      </c>
      <c r="I3051" s="5" t="s">
        <v>63</v>
      </c>
      <c r="J3051" s="5" t="s">
        <v>1287</v>
      </c>
      <c r="K3051" s="5" t="s">
        <v>1969</v>
      </c>
      <c r="L3051" s="9">
        <v>0.4145833333333333</v>
      </c>
      <c r="M3051" s="5" t="s">
        <v>2113</v>
      </c>
      <c r="N3051" s="5" t="s">
        <v>500</v>
      </c>
      <c r="O3051" s="5"/>
    </row>
    <row r="3052" spans="1:15" x14ac:dyDescent="0.25">
      <c r="A3052" s="2" t="s">
        <v>15</v>
      </c>
      <c r="B3052" s="2" t="str">
        <f>"FES1162771314"</f>
        <v>FES1162771314</v>
      </c>
      <c r="C3052" s="2" t="s">
        <v>1897</v>
      </c>
      <c r="D3052" s="2">
        <v>1</v>
      </c>
      <c r="E3052" s="2" t="str">
        <f>"2170758365"</f>
        <v>2170758365</v>
      </c>
      <c r="F3052" s="2" t="s">
        <v>17</v>
      </c>
      <c r="G3052" s="2" t="s">
        <v>18</v>
      </c>
      <c r="H3052" s="2" t="s">
        <v>18</v>
      </c>
      <c r="I3052" s="2" t="s">
        <v>63</v>
      </c>
      <c r="J3052" s="2" t="s">
        <v>93</v>
      </c>
      <c r="K3052" s="2" t="s">
        <v>1969</v>
      </c>
      <c r="L3052" s="3">
        <v>0.38541666666666669</v>
      </c>
      <c r="M3052" s="2" t="s">
        <v>210</v>
      </c>
      <c r="N3052" s="2" t="s">
        <v>500</v>
      </c>
      <c r="O3052" s="2"/>
    </row>
    <row r="3053" spans="1:15" x14ac:dyDescent="0.25">
      <c r="A3053" s="2" t="s">
        <v>15</v>
      </c>
      <c r="B3053" s="2" t="str">
        <f>"FES1162771325"</f>
        <v>FES1162771325</v>
      </c>
      <c r="C3053" s="2" t="s">
        <v>1897</v>
      </c>
      <c r="D3053" s="2">
        <v>1</v>
      </c>
      <c r="E3053" s="2" t="str">
        <f>"2170758345"</f>
        <v>2170758345</v>
      </c>
      <c r="F3053" s="2" t="s">
        <v>17</v>
      </c>
      <c r="G3053" s="2" t="s">
        <v>18</v>
      </c>
      <c r="H3053" s="2" t="s">
        <v>88</v>
      </c>
      <c r="I3053" s="2" t="s">
        <v>109</v>
      </c>
      <c r="J3053" s="2" t="s">
        <v>2054</v>
      </c>
      <c r="K3053" s="2" t="s">
        <v>1969</v>
      </c>
      <c r="L3053" s="3">
        <v>0.40972222222222227</v>
      </c>
      <c r="M3053" s="2" t="s">
        <v>2114</v>
      </c>
      <c r="N3053" s="2" t="s">
        <v>500</v>
      </c>
      <c r="O3053" s="2"/>
    </row>
    <row r="3054" spans="1:15" x14ac:dyDescent="0.25">
      <c r="A3054" s="2" t="s">
        <v>15</v>
      </c>
      <c r="B3054" s="2" t="str">
        <f>"FES1162771440"</f>
        <v>FES1162771440</v>
      </c>
      <c r="C3054" s="2" t="s">
        <v>1897</v>
      </c>
      <c r="D3054" s="2">
        <v>1</v>
      </c>
      <c r="E3054" s="2" t="str">
        <f>"2170758473"</f>
        <v>2170758473</v>
      </c>
      <c r="F3054" s="2" t="s">
        <v>17</v>
      </c>
      <c r="G3054" s="2" t="s">
        <v>18</v>
      </c>
      <c r="H3054" s="2" t="s">
        <v>25</v>
      </c>
      <c r="I3054" s="2" t="s">
        <v>42</v>
      </c>
      <c r="J3054" s="2" t="s">
        <v>416</v>
      </c>
      <c r="K3054" s="2" t="s">
        <v>1969</v>
      </c>
      <c r="L3054" s="3">
        <v>0.48888888888888887</v>
      </c>
      <c r="M3054" s="2" t="s">
        <v>688</v>
      </c>
      <c r="N3054" s="2" t="s">
        <v>500</v>
      </c>
      <c r="O3054" s="2"/>
    </row>
    <row r="3055" spans="1:15" x14ac:dyDescent="0.25">
      <c r="A3055" s="2" t="s">
        <v>15</v>
      </c>
      <c r="B3055" s="2" t="str">
        <f>"FES1162771380"</f>
        <v>FES1162771380</v>
      </c>
      <c r="C3055" s="2" t="s">
        <v>1897</v>
      </c>
      <c r="D3055" s="2">
        <v>1</v>
      </c>
      <c r="E3055" s="2" t="str">
        <f>"2170757126"</f>
        <v>2170757126</v>
      </c>
      <c r="F3055" s="2" t="s">
        <v>17</v>
      </c>
      <c r="G3055" s="2" t="s">
        <v>18</v>
      </c>
      <c r="H3055" s="2" t="s">
        <v>36</v>
      </c>
      <c r="I3055" s="2" t="s">
        <v>37</v>
      </c>
      <c r="J3055" s="2" t="s">
        <v>1455</v>
      </c>
      <c r="K3055" s="2" t="s">
        <v>1969</v>
      </c>
      <c r="L3055" s="3">
        <v>0.40277777777777773</v>
      </c>
      <c r="M3055" s="2" t="s">
        <v>2115</v>
      </c>
      <c r="N3055" s="2" t="s">
        <v>500</v>
      </c>
      <c r="O3055" s="2"/>
    </row>
    <row r="3056" spans="1:15" x14ac:dyDescent="0.25">
      <c r="A3056" s="2" t="s">
        <v>15</v>
      </c>
      <c r="B3056" s="2" t="str">
        <f>"FES1162771256"</f>
        <v>FES1162771256</v>
      </c>
      <c r="C3056" s="2" t="s">
        <v>1897</v>
      </c>
      <c r="D3056" s="2">
        <v>1</v>
      </c>
      <c r="E3056" s="2" t="str">
        <f>"2170758324"</f>
        <v>2170758324</v>
      </c>
      <c r="F3056" s="2" t="s">
        <v>17</v>
      </c>
      <c r="G3056" s="2" t="s">
        <v>18</v>
      </c>
      <c r="H3056" s="2" t="s">
        <v>18</v>
      </c>
      <c r="I3056" s="2" t="s">
        <v>46</v>
      </c>
      <c r="J3056" s="2" t="s">
        <v>2055</v>
      </c>
      <c r="K3056" s="2" t="s">
        <v>1969</v>
      </c>
      <c r="L3056" s="3">
        <v>0.41666666666666669</v>
      </c>
      <c r="M3056" s="2" t="s">
        <v>2116</v>
      </c>
      <c r="N3056" s="2" t="s">
        <v>500</v>
      </c>
      <c r="O3056" s="2"/>
    </row>
    <row r="3057" spans="1:15" x14ac:dyDescent="0.25">
      <c r="A3057" s="2" t="s">
        <v>15</v>
      </c>
      <c r="B3057" s="2" t="str">
        <f>"FES1162771453"</f>
        <v>FES1162771453</v>
      </c>
      <c r="C3057" s="2" t="s">
        <v>1897</v>
      </c>
      <c r="D3057" s="2">
        <v>1</v>
      </c>
      <c r="E3057" s="2" t="str">
        <f>"2170752586"</f>
        <v>2170752586</v>
      </c>
      <c r="F3057" s="2" t="s">
        <v>17</v>
      </c>
      <c r="G3057" s="2" t="s">
        <v>18</v>
      </c>
      <c r="H3057" s="2" t="s">
        <v>36</v>
      </c>
      <c r="I3057" s="2" t="s">
        <v>134</v>
      </c>
      <c r="J3057" s="2" t="s">
        <v>1228</v>
      </c>
      <c r="K3057" s="2" t="s">
        <v>1969</v>
      </c>
      <c r="L3057" s="3">
        <v>0.4375</v>
      </c>
      <c r="M3057" s="2" t="s">
        <v>2117</v>
      </c>
      <c r="N3057" s="2" t="s">
        <v>500</v>
      </c>
      <c r="O3057" s="2"/>
    </row>
    <row r="3058" spans="1:15" x14ac:dyDescent="0.25">
      <c r="A3058" s="2" t="s">
        <v>15</v>
      </c>
      <c r="B3058" s="2" t="str">
        <f>"FES1162771446"</f>
        <v>FES1162771446</v>
      </c>
      <c r="C3058" s="2" t="s">
        <v>1897</v>
      </c>
      <c r="D3058" s="2">
        <v>1</v>
      </c>
      <c r="E3058" s="2" t="str">
        <f>"2170758486"</f>
        <v>2170758486</v>
      </c>
      <c r="F3058" s="2" t="s">
        <v>17</v>
      </c>
      <c r="G3058" s="2" t="s">
        <v>18</v>
      </c>
      <c r="H3058" s="2" t="s">
        <v>78</v>
      </c>
      <c r="I3058" s="2" t="s">
        <v>79</v>
      </c>
      <c r="J3058" s="2" t="s">
        <v>2056</v>
      </c>
      <c r="K3058" s="2" t="s">
        <v>1969</v>
      </c>
      <c r="L3058" s="3">
        <v>0.53125</v>
      </c>
      <c r="M3058" s="2" t="s">
        <v>2118</v>
      </c>
      <c r="N3058" s="2" t="s">
        <v>500</v>
      </c>
      <c r="O3058" s="2"/>
    </row>
    <row r="3059" spans="1:15" x14ac:dyDescent="0.25">
      <c r="A3059" s="2" t="s">
        <v>15</v>
      </c>
      <c r="B3059" s="2" t="str">
        <f>"FES1162771337"</f>
        <v>FES1162771337</v>
      </c>
      <c r="C3059" s="2" t="s">
        <v>1897</v>
      </c>
      <c r="D3059" s="2">
        <v>1</v>
      </c>
      <c r="E3059" s="2" t="str">
        <f>"2170755820"</f>
        <v>2170755820</v>
      </c>
      <c r="F3059" s="2" t="s">
        <v>17</v>
      </c>
      <c r="G3059" s="2" t="s">
        <v>18</v>
      </c>
      <c r="H3059" s="2" t="s">
        <v>33</v>
      </c>
      <c r="I3059" s="2" t="s">
        <v>34</v>
      </c>
      <c r="J3059" s="2" t="s">
        <v>371</v>
      </c>
      <c r="K3059" s="2" t="s">
        <v>1969</v>
      </c>
      <c r="L3059" s="3">
        <v>0.43333333333333335</v>
      </c>
      <c r="M3059" s="2" t="s">
        <v>2119</v>
      </c>
      <c r="N3059" s="2" t="s">
        <v>500</v>
      </c>
      <c r="O3059" s="2"/>
    </row>
    <row r="3060" spans="1:15" x14ac:dyDescent="0.25">
      <c r="A3060" s="2" t="s">
        <v>15</v>
      </c>
      <c r="B3060" s="2" t="str">
        <f>"FES1162771420"</f>
        <v>FES1162771420</v>
      </c>
      <c r="C3060" s="2" t="s">
        <v>1897</v>
      </c>
      <c r="D3060" s="2">
        <v>1</v>
      </c>
      <c r="E3060" s="2" t="str">
        <f>"2170758459"</f>
        <v>2170758459</v>
      </c>
      <c r="F3060" s="2" t="s">
        <v>17</v>
      </c>
      <c r="G3060" s="2" t="s">
        <v>18</v>
      </c>
      <c r="H3060" s="2" t="s">
        <v>19</v>
      </c>
      <c r="I3060" s="2" t="s">
        <v>269</v>
      </c>
      <c r="J3060" s="2" t="s">
        <v>655</v>
      </c>
      <c r="K3060" s="2" t="s">
        <v>1969</v>
      </c>
      <c r="L3060" s="3">
        <v>0.36805555555555558</v>
      </c>
      <c r="M3060" s="2" t="s">
        <v>2079</v>
      </c>
      <c r="N3060" s="2" t="s">
        <v>500</v>
      </c>
      <c r="O3060" s="2"/>
    </row>
    <row r="3061" spans="1:15" x14ac:dyDescent="0.25">
      <c r="A3061" s="2" t="s">
        <v>15</v>
      </c>
      <c r="B3061" s="2" t="str">
        <f>"FES1162771099"</f>
        <v>FES1162771099</v>
      </c>
      <c r="C3061" s="2" t="s">
        <v>1897</v>
      </c>
      <c r="D3061" s="2">
        <v>1</v>
      </c>
      <c r="E3061" s="2" t="str">
        <f>"2170756180"</f>
        <v>2170756180</v>
      </c>
      <c r="F3061" s="2" t="s">
        <v>17</v>
      </c>
      <c r="G3061" s="2" t="s">
        <v>18</v>
      </c>
      <c r="H3061" s="2" t="s">
        <v>18</v>
      </c>
      <c r="I3061" s="2" t="s">
        <v>329</v>
      </c>
      <c r="J3061" s="2" t="s">
        <v>1028</v>
      </c>
      <c r="K3061" s="2" t="s">
        <v>1969</v>
      </c>
      <c r="L3061" s="3">
        <v>0.41666666666666669</v>
      </c>
      <c r="M3061" s="2" t="s">
        <v>2120</v>
      </c>
      <c r="N3061" s="2" t="s">
        <v>500</v>
      </c>
      <c r="O3061" s="2"/>
    </row>
    <row r="3062" spans="1:15" x14ac:dyDescent="0.25">
      <c r="A3062" s="2" t="s">
        <v>15</v>
      </c>
      <c r="B3062" s="2" t="str">
        <f>"FES1162771363"</f>
        <v>FES1162771363</v>
      </c>
      <c r="C3062" s="2" t="s">
        <v>1897</v>
      </c>
      <c r="D3062" s="2">
        <v>1</v>
      </c>
      <c r="E3062" s="2" t="str">
        <f>"2170755631"</f>
        <v>2170755631</v>
      </c>
      <c r="F3062" s="2" t="s">
        <v>17</v>
      </c>
      <c r="G3062" s="2" t="s">
        <v>18</v>
      </c>
      <c r="H3062" s="2" t="s">
        <v>36</v>
      </c>
      <c r="I3062" s="2" t="s">
        <v>37</v>
      </c>
      <c r="J3062" s="2" t="s">
        <v>378</v>
      </c>
      <c r="K3062" s="2" t="s">
        <v>1969</v>
      </c>
      <c r="L3062" s="3">
        <v>0.40972222222222227</v>
      </c>
      <c r="M3062" s="2" t="s">
        <v>2121</v>
      </c>
      <c r="N3062" s="2" t="s">
        <v>500</v>
      </c>
      <c r="O3062" s="2"/>
    </row>
    <row r="3063" spans="1:15" x14ac:dyDescent="0.25">
      <c r="A3063" s="2" t="s">
        <v>15</v>
      </c>
      <c r="B3063" s="2" t="str">
        <f>"FES1162771436"</f>
        <v>FES1162771436</v>
      </c>
      <c r="C3063" s="2" t="s">
        <v>1897</v>
      </c>
      <c r="D3063" s="2">
        <v>1</v>
      </c>
      <c r="E3063" s="2" t="str">
        <f>"2170754366"</f>
        <v>2170754366</v>
      </c>
      <c r="F3063" s="2" t="s">
        <v>17</v>
      </c>
      <c r="G3063" s="2" t="s">
        <v>18</v>
      </c>
      <c r="H3063" s="2" t="s">
        <v>25</v>
      </c>
      <c r="I3063" s="2" t="s">
        <v>26</v>
      </c>
      <c r="J3063" s="2" t="s">
        <v>27</v>
      </c>
      <c r="K3063" s="2" t="s">
        <v>1969</v>
      </c>
      <c r="L3063" s="3">
        <v>0.34583333333333338</v>
      </c>
      <c r="M3063" s="2" t="s">
        <v>171</v>
      </c>
      <c r="N3063" s="2" t="s">
        <v>500</v>
      </c>
      <c r="O3063" s="2"/>
    </row>
    <row r="3064" spans="1:15" x14ac:dyDescent="0.25">
      <c r="A3064" s="2" t="s">
        <v>15</v>
      </c>
      <c r="B3064" s="2" t="str">
        <f>"FES1162771398"</f>
        <v>FES1162771398</v>
      </c>
      <c r="C3064" s="2" t="s">
        <v>1897</v>
      </c>
      <c r="D3064" s="2">
        <v>1</v>
      </c>
      <c r="E3064" s="2" t="str">
        <f>"2170758423"</f>
        <v>2170758423</v>
      </c>
      <c r="F3064" s="2" t="s">
        <v>17</v>
      </c>
      <c r="G3064" s="2" t="s">
        <v>18</v>
      </c>
      <c r="H3064" s="2" t="s">
        <v>88</v>
      </c>
      <c r="I3064" s="2" t="s">
        <v>109</v>
      </c>
      <c r="J3064" s="2" t="s">
        <v>110</v>
      </c>
      <c r="K3064" s="2" t="s">
        <v>1969</v>
      </c>
      <c r="L3064" s="3">
        <v>0.43055555555555558</v>
      </c>
      <c r="M3064" s="2" t="s">
        <v>224</v>
      </c>
      <c r="N3064" s="2" t="s">
        <v>500</v>
      </c>
      <c r="O3064" s="2"/>
    </row>
    <row r="3065" spans="1:15" x14ac:dyDescent="0.25">
      <c r="A3065" s="2" t="s">
        <v>15</v>
      </c>
      <c r="B3065" s="2" t="str">
        <f>"FES1162771309"</f>
        <v>FES1162771309</v>
      </c>
      <c r="C3065" s="2" t="s">
        <v>1897</v>
      </c>
      <c r="D3065" s="2">
        <v>1</v>
      </c>
      <c r="E3065" s="2" t="str">
        <f>"2170758359"</f>
        <v>2170758359</v>
      </c>
      <c r="F3065" s="2" t="s">
        <v>17</v>
      </c>
      <c r="G3065" s="2" t="s">
        <v>18</v>
      </c>
      <c r="H3065" s="2" t="s">
        <v>19</v>
      </c>
      <c r="I3065" s="2" t="s">
        <v>73</v>
      </c>
      <c r="J3065" s="2" t="s">
        <v>76</v>
      </c>
      <c r="K3065" s="2" t="s">
        <v>1969</v>
      </c>
      <c r="L3065" s="3">
        <v>0.39861111111111108</v>
      </c>
      <c r="M3065" s="2" t="s">
        <v>197</v>
      </c>
      <c r="N3065" s="2" t="s">
        <v>500</v>
      </c>
      <c r="O3065" s="2"/>
    </row>
    <row r="3066" spans="1:15" x14ac:dyDescent="0.25">
      <c r="A3066" s="2" t="s">
        <v>15</v>
      </c>
      <c r="B3066" s="2" t="str">
        <f>"FES1162771341"</f>
        <v>FES1162771341</v>
      </c>
      <c r="C3066" s="2" t="s">
        <v>1897</v>
      </c>
      <c r="D3066" s="2">
        <v>1</v>
      </c>
      <c r="E3066" s="2" t="str">
        <f>"2170755841"</f>
        <v>2170755841</v>
      </c>
      <c r="F3066" s="2" t="s">
        <v>17</v>
      </c>
      <c r="G3066" s="2" t="s">
        <v>18</v>
      </c>
      <c r="H3066" s="2" t="s">
        <v>18</v>
      </c>
      <c r="I3066" s="2" t="s">
        <v>46</v>
      </c>
      <c r="J3066" s="2" t="s">
        <v>453</v>
      </c>
      <c r="K3066" s="2" t="s">
        <v>1969</v>
      </c>
      <c r="L3066" s="3">
        <v>0.4375</v>
      </c>
      <c r="M3066" s="2" t="s">
        <v>1278</v>
      </c>
      <c r="N3066" s="2" t="s">
        <v>500</v>
      </c>
      <c r="O3066" s="2"/>
    </row>
    <row r="3067" spans="1:15" x14ac:dyDescent="0.25">
      <c r="A3067" s="2" t="s">
        <v>15</v>
      </c>
      <c r="B3067" s="2" t="str">
        <f>"FES1162771409"</f>
        <v>FES1162771409</v>
      </c>
      <c r="C3067" s="2" t="s">
        <v>1897</v>
      </c>
      <c r="D3067" s="2">
        <v>1</v>
      </c>
      <c r="E3067" s="2" t="str">
        <f>"2170758436"</f>
        <v>2170758436</v>
      </c>
      <c r="F3067" s="2" t="s">
        <v>17</v>
      </c>
      <c r="G3067" s="2" t="s">
        <v>18</v>
      </c>
      <c r="H3067" s="2" t="s">
        <v>18</v>
      </c>
      <c r="I3067" s="2" t="s">
        <v>157</v>
      </c>
      <c r="J3067" s="2" t="s">
        <v>158</v>
      </c>
      <c r="K3067" s="2" t="s">
        <v>1969</v>
      </c>
      <c r="L3067" s="3">
        <v>0.51527777777777783</v>
      </c>
      <c r="M3067" s="2" t="s">
        <v>253</v>
      </c>
      <c r="N3067" s="2" t="s">
        <v>500</v>
      </c>
      <c r="O3067" s="2"/>
    </row>
    <row r="3068" spans="1:15" x14ac:dyDescent="0.25">
      <c r="A3068" s="2" t="s">
        <v>15</v>
      </c>
      <c r="B3068" s="2" t="str">
        <f>"FES1162771307"</f>
        <v>FES1162771307</v>
      </c>
      <c r="C3068" s="2" t="s">
        <v>1897</v>
      </c>
      <c r="D3068" s="2">
        <v>1</v>
      </c>
      <c r="E3068" s="2" t="str">
        <f>"2170758346"</f>
        <v>2170758346</v>
      </c>
      <c r="F3068" s="2" t="s">
        <v>17</v>
      </c>
      <c r="G3068" s="2" t="s">
        <v>18</v>
      </c>
      <c r="H3068" s="2" t="s">
        <v>18</v>
      </c>
      <c r="I3068" s="2" t="s">
        <v>65</v>
      </c>
      <c r="J3068" s="2" t="s">
        <v>1149</v>
      </c>
      <c r="K3068" s="2" t="s">
        <v>1969</v>
      </c>
      <c r="L3068" s="3">
        <v>0.33333333333333331</v>
      </c>
      <c r="M3068" s="2" t="s">
        <v>2122</v>
      </c>
      <c r="N3068" s="2" t="s">
        <v>500</v>
      </c>
      <c r="O3068" s="2"/>
    </row>
    <row r="3069" spans="1:15" x14ac:dyDescent="0.25">
      <c r="A3069" s="2" t="s">
        <v>15</v>
      </c>
      <c r="B3069" s="2" t="str">
        <f>"FES1162771455"</f>
        <v>FES1162771455</v>
      </c>
      <c r="C3069" s="2" t="s">
        <v>1897</v>
      </c>
      <c r="D3069" s="2">
        <v>1</v>
      </c>
      <c r="E3069" s="2" t="str">
        <f>"2170758478"</f>
        <v>2170758478</v>
      </c>
      <c r="F3069" s="2" t="s">
        <v>17</v>
      </c>
      <c r="G3069" s="2" t="s">
        <v>18</v>
      </c>
      <c r="H3069" s="2" t="s">
        <v>25</v>
      </c>
      <c r="I3069" s="2" t="s">
        <v>26</v>
      </c>
      <c r="J3069" s="2" t="s">
        <v>1118</v>
      </c>
      <c r="K3069" s="2" t="s">
        <v>1969</v>
      </c>
      <c r="L3069" s="3">
        <v>0.41666666666666669</v>
      </c>
      <c r="M3069" s="2" t="s">
        <v>2123</v>
      </c>
      <c r="N3069" s="2" t="s">
        <v>500</v>
      </c>
      <c r="O3069" s="2"/>
    </row>
    <row r="3070" spans="1:15" x14ac:dyDescent="0.25">
      <c r="A3070" s="2" t="s">
        <v>15</v>
      </c>
      <c r="B3070" s="2" t="str">
        <f>"FES1162771358"</f>
        <v>FES1162771358</v>
      </c>
      <c r="C3070" s="2" t="s">
        <v>1897</v>
      </c>
      <c r="D3070" s="2">
        <v>1</v>
      </c>
      <c r="E3070" s="2" t="str">
        <f>"2170754831"</f>
        <v>2170754831</v>
      </c>
      <c r="F3070" s="2" t="s">
        <v>17</v>
      </c>
      <c r="G3070" s="2" t="s">
        <v>18</v>
      </c>
      <c r="H3070" s="2" t="s">
        <v>25</v>
      </c>
      <c r="I3070" s="2" t="s">
        <v>26</v>
      </c>
      <c r="J3070" s="2" t="s">
        <v>785</v>
      </c>
      <c r="K3070" s="2" t="s">
        <v>1969</v>
      </c>
      <c r="L3070" s="3">
        <v>0.4368055555555555</v>
      </c>
      <c r="M3070" s="2" t="s">
        <v>2124</v>
      </c>
      <c r="N3070" s="2" t="s">
        <v>500</v>
      </c>
      <c r="O3070" s="2"/>
    </row>
    <row r="3071" spans="1:15" x14ac:dyDescent="0.25">
      <c r="A3071" s="2" t="s">
        <v>15</v>
      </c>
      <c r="B3071" s="2" t="str">
        <f>"FES1162771470"</f>
        <v>FES1162771470</v>
      </c>
      <c r="C3071" s="2" t="s">
        <v>1897</v>
      </c>
      <c r="D3071" s="2">
        <v>1</v>
      </c>
      <c r="E3071" s="2" t="str">
        <f>"2170758518"</f>
        <v>2170758518</v>
      </c>
      <c r="F3071" s="2" t="s">
        <v>17</v>
      </c>
      <c r="G3071" s="2" t="s">
        <v>18</v>
      </c>
      <c r="H3071" s="2" t="s">
        <v>78</v>
      </c>
      <c r="I3071" s="2" t="s">
        <v>79</v>
      </c>
      <c r="J3071" s="2" t="s">
        <v>449</v>
      </c>
      <c r="K3071" s="2" t="s">
        <v>1969</v>
      </c>
      <c r="L3071" s="3">
        <v>0.37986111111111115</v>
      </c>
      <c r="M3071" s="2" t="s">
        <v>554</v>
      </c>
      <c r="N3071" s="2" t="s">
        <v>500</v>
      </c>
      <c r="O3071" s="2"/>
    </row>
    <row r="3072" spans="1:15" x14ac:dyDescent="0.25">
      <c r="A3072" s="2" t="s">
        <v>15</v>
      </c>
      <c r="B3072" s="2" t="str">
        <f>"009940513092"</f>
        <v>009940513092</v>
      </c>
      <c r="C3072" s="2" t="s">
        <v>1897</v>
      </c>
      <c r="D3072" s="2">
        <v>1</v>
      </c>
      <c r="E3072" s="2" t="str">
        <f>""</f>
        <v/>
      </c>
      <c r="F3072" s="2" t="s">
        <v>205</v>
      </c>
      <c r="G3072" s="2" t="s">
        <v>206</v>
      </c>
      <c r="H3072" s="2" t="s">
        <v>206</v>
      </c>
      <c r="I3072" s="2" t="s">
        <v>46</v>
      </c>
      <c r="J3072" s="2" t="s">
        <v>410</v>
      </c>
      <c r="K3072" s="2" t="s">
        <v>1969</v>
      </c>
      <c r="L3072" s="3">
        <v>0.36805555555555558</v>
      </c>
      <c r="M3072" s="2" t="s">
        <v>262</v>
      </c>
      <c r="N3072" s="2" t="s">
        <v>500</v>
      </c>
      <c r="O3072" s="2"/>
    </row>
    <row r="3073" spans="1:15" x14ac:dyDescent="0.25">
      <c r="A3073" s="5" t="s">
        <v>15</v>
      </c>
      <c r="B3073" s="5" t="str">
        <f>"FES1162771441"</f>
        <v>FES1162771441</v>
      </c>
      <c r="C3073" s="5" t="s">
        <v>1897</v>
      </c>
      <c r="D3073" s="5">
        <v>1</v>
      </c>
      <c r="E3073" s="5" t="str">
        <f>"2170758476"</f>
        <v>2170758476</v>
      </c>
      <c r="F3073" s="5" t="s">
        <v>17</v>
      </c>
      <c r="G3073" s="5" t="s">
        <v>18</v>
      </c>
      <c r="H3073" s="5" t="s">
        <v>18</v>
      </c>
      <c r="I3073" s="5" t="s">
        <v>1664</v>
      </c>
      <c r="J3073" s="5" t="s">
        <v>2057</v>
      </c>
      <c r="K3073" s="5" t="s">
        <v>2138</v>
      </c>
      <c r="L3073" s="5" t="s">
        <v>2224</v>
      </c>
      <c r="M3073" s="5" t="s">
        <v>2223</v>
      </c>
      <c r="N3073" s="5" t="s">
        <v>500</v>
      </c>
      <c r="O3073" s="5"/>
    </row>
    <row r="3074" spans="1:15" x14ac:dyDescent="0.25">
      <c r="A3074" s="2" t="s">
        <v>15</v>
      </c>
      <c r="B3074" s="2" t="str">
        <f>"FES1162771439"</f>
        <v>FES1162771439</v>
      </c>
      <c r="C3074" s="2" t="s">
        <v>1897</v>
      </c>
      <c r="D3074" s="2">
        <v>1</v>
      </c>
      <c r="E3074" s="2" t="str">
        <f>"2170758457"</f>
        <v>2170758457</v>
      </c>
      <c r="F3074" s="2" t="s">
        <v>17</v>
      </c>
      <c r="G3074" s="2" t="s">
        <v>18</v>
      </c>
      <c r="H3074" s="2" t="s">
        <v>36</v>
      </c>
      <c r="I3074" s="2" t="s">
        <v>37</v>
      </c>
      <c r="J3074" s="2" t="s">
        <v>55</v>
      </c>
      <c r="K3074" s="2" t="s">
        <v>1969</v>
      </c>
      <c r="L3074" s="3">
        <v>0.39027777777777778</v>
      </c>
      <c r="M3074" s="2" t="s">
        <v>56</v>
      </c>
      <c r="N3074" s="2" t="s">
        <v>500</v>
      </c>
      <c r="O3074" s="2"/>
    </row>
    <row r="3075" spans="1:15" x14ac:dyDescent="0.25">
      <c r="A3075" s="2" t="s">
        <v>15</v>
      </c>
      <c r="B3075" s="2" t="str">
        <f>"FES1162771463"</f>
        <v>FES1162771463</v>
      </c>
      <c r="C3075" s="2" t="s">
        <v>1897</v>
      </c>
      <c r="D3075" s="2">
        <v>1</v>
      </c>
      <c r="E3075" s="2" t="str">
        <f>"2170758507"</f>
        <v>2170758507</v>
      </c>
      <c r="F3075" s="2" t="s">
        <v>17</v>
      </c>
      <c r="G3075" s="2" t="s">
        <v>18</v>
      </c>
      <c r="H3075" s="2" t="s">
        <v>19</v>
      </c>
      <c r="I3075" s="2" t="s">
        <v>20</v>
      </c>
      <c r="J3075" s="2" t="s">
        <v>2058</v>
      </c>
      <c r="K3075" s="2" t="s">
        <v>1969</v>
      </c>
      <c r="L3075" s="3">
        <v>0.4375</v>
      </c>
      <c r="M3075" s="2" t="s">
        <v>1728</v>
      </c>
      <c r="N3075" s="2" t="s">
        <v>500</v>
      </c>
      <c r="O3075" s="2"/>
    </row>
    <row r="3076" spans="1:15" x14ac:dyDescent="0.25">
      <c r="A3076" s="2" t="s">
        <v>15</v>
      </c>
      <c r="B3076" s="2" t="str">
        <f>"FES1162771462"</f>
        <v>FES1162771462</v>
      </c>
      <c r="C3076" s="2" t="s">
        <v>1897</v>
      </c>
      <c r="D3076" s="2">
        <v>1</v>
      </c>
      <c r="E3076" s="2" t="str">
        <f>"2170758506"</f>
        <v>2170758506</v>
      </c>
      <c r="F3076" s="2" t="s">
        <v>17</v>
      </c>
      <c r="G3076" s="2" t="s">
        <v>18</v>
      </c>
      <c r="H3076" s="2" t="s">
        <v>25</v>
      </c>
      <c r="I3076" s="2" t="s">
        <v>42</v>
      </c>
      <c r="J3076" s="2" t="s">
        <v>872</v>
      </c>
      <c r="K3076" s="2" t="s">
        <v>1969</v>
      </c>
      <c r="L3076" s="3">
        <v>0.49861111111111112</v>
      </c>
      <c r="M3076" s="2" t="s">
        <v>1978</v>
      </c>
      <c r="N3076" s="2" t="s">
        <v>500</v>
      </c>
      <c r="O3076" s="2"/>
    </row>
    <row r="3077" spans="1:15" x14ac:dyDescent="0.25">
      <c r="A3077" s="5" t="s">
        <v>15</v>
      </c>
      <c r="B3077" s="5" t="str">
        <f>"FES1162771377"</f>
        <v>FES1162771377</v>
      </c>
      <c r="C3077" s="5" t="s">
        <v>1897</v>
      </c>
      <c r="D3077" s="5">
        <v>1</v>
      </c>
      <c r="E3077" s="5" t="str">
        <f>"2170756980"</f>
        <v>2170756980</v>
      </c>
      <c r="F3077" s="5" t="s">
        <v>17</v>
      </c>
      <c r="G3077" s="5" t="s">
        <v>18</v>
      </c>
      <c r="H3077" s="5" t="s">
        <v>88</v>
      </c>
      <c r="I3077" s="5" t="s">
        <v>612</v>
      </c>
      <c r="J3077" s="5" t="s">
        <v>1126</v>
      </c>
      <c r="K3077" s="5" t="s">
        <v>2197</v>
      </c>
      <c r="L3077" s="9">
        <v>0.62916666666666665</v>
      </c>
      <c r="M3077" s="5" t="s">
        <v>2311</v>
      </c>
      <c r="N3077" s="5" t="s">
        <v>500</v>
      </c>
      <c r="O3077" s="5" t="s">
        <v>2222</v>
      </c>
    </row>
    <row r="3078" spans="1:15" x14ac:dyDescent="0.25">
      <c r="A3078" s="2" t="s">
        <v>15</v>
      </c>
      <c r="B3078" s="2" t="str">
        <f>"FES1162771373"</f>
        <v>FES1162771373</v>
      </c>
      <c r="C3078" s="2" t="s">
        <v>1897</v>
      </c>
      <c r="D3078" s="2">
        <v>1</v>
      </c>
      <c r="E3078" s="2" t="str">
        <f>"2170756786"</f>
        <v>2170756786</v>
      </c>
      <c r="F3078" s="2" t="s">
        <v>17</v>
      </c>
      <c r="G3078" s="2" t="s">
        <v>18</v>
      </c>
      <c r="H3078" s="2" t="s">
        <v>18</v>
      </c>
      <c r="I3078" s="2" t="s">
        <v>63</v>
      </c>
      <c r="J3078" s="2" t="s">
        <v>1427</v>
      </c>
      <c r="K3078" s="2" t="s">
        <v>1969</v>
      </c>
      <c r="L3078" s="3">
        <v>0.40069444444444446</v>
      </c>
      <c r="M3078" s="2" t="s">
        <v>1055</v>
      </c>
      <c r="N3078" s="2" t="s">
        <v>500</v>
      </c>
      <c r="O3078" s="2"/>
    </row>
    <row r="3079" spans="1:15" x14ac:dyDescent="0.25">
      <c r="A3079" s="2" t="s">
        <v>15</v>
      </c>
      <c r="B3079" s="2" t="str">
        <f>"FES1162771475"</f>
        <v>FES1162771475</v>
      </c>
      <c r="C3079" s="2" t="s">
        <v>1897</v>
      </c>
      <c r="D3079" s="2">
        <v>1</v>
      </c>
      <c r="E3079" s="2" t="str">
        <f>"2170758522"</f>
        <v>2170758522</v>
      </c>
      <c r="F3079" s="2" t="s">
        <v>17</v>
      </c>
      <c r="G3079" s="2" t="s">
        <v>18</v>
      </c>
      <c r="H3079" s="2" t="s">
        <v>30</v>
      </c>
      <c r="I3079" s="2" t="s">
        <v>444</v>
      </c>
      <c r="J3079" s="2" t="s">
        <v>488</v>
      </c>
      <c r="K3079" s="2" t="s">
        <v>1969</v>
      </c>
      <c r="L3079" s="3">
        <v>0.44722222222222219</v>
      </c>
      <c r="M3079" s="2" t="s">
        <v>1914</v>
      </c>
      <c r="N3079" s="2" t="s">
        <v>500</v>
      </c>
      <c r="O3079" s="2"/>
    </row>
    <row r="3080" spans="1:15" x14ac:dyDescent="0.25">
      <c r="A3080" s="2" t="s">
        <v>15</v>
      </c>
      <c r="B3080" s="2" t="str">
        <f>"FES1162771356"</f>
        <v>FES1162771356</v>
      </c>
      <c r="C3080" s="2" t="s">
        <v>1897</v>
      </c>
      <c r="D3080" s="2">
        <v>1</v>
      </c>
      <c r="E3080" s="2" t="str">
        <f>"2170754492"</f>
        <v>2170754492</v>
      </c>
      <c r="F3080" s="2" t="s">
        <v>17</v>
      </c>
      <c r="G3080" s="2" t="s">
        <v>18</v>
      </c>
      <c r="H3080" s="2" t="s">
        <v>18</v>
      </c>
      <c r="I3080" s="2" t="s">
        <v>65</v>
      </c>
      <c r="J3080" s="2" t="s">
        <v>1149</v>
      </c>
      <c r="K3080" s="2" t="s">
        <v>1969</v>
      </c>
      <c r="L3080" s="3">
        <v>0.33333333333333331</v>
      </c>
      <c r="M3080" s="2" t="s">
        <v>2122</v>
      </c>
      <c r="N3080" s="2" t="s">
        <v>500</v>
      </c>
      <c r="O3080" s="2"/>
    </row>
    <row r="3081" spans="1:15" x14ac:dyDescent="0.25">
      <c r="A3081" s="2" t="s">
        <v>15</v>
      </c>
      <c r="B3081" s="2" t="str">
        <f>"FES1162771378"</f>
        <v>FES1162771378</v>
      </c>
      <c r="C3081" s="2" t="s">
        <v>1897</v>
      </c>
      <c r="D3081" s="2">
        <v>1</v>
      </c>
      <c r="E3081" s="2" t="str">
        <f>"2170757004"</f>
        <v>2170757004</v>
      </c>
      <c r="F3081" s="2" t="s">
        <v>17</v>
      </c>
      <c r="G3081" s="2" t="s">
        <v>18</v>
      </c>
      <c r="H3081" s="2" t="s">
        <v>18</v>
      </c>
      <c r="I3081" s="2" t="s">
        <v>63</v>
      </c>
      <c r="J3081" s="2" t="s">
        <v>1287</v>
      </c>
      <c r="K3081" s="2" t="s">
        <v>1969</v>
      </c>
      <c r="L3081" s="3">
        <v>0.4145833333333333</v>
      </c>
      <c r="M3081" s="2" t="s">
        <v>2125</v>
      </c>
      <c r="N3081" s="2" t="s">
        <v>500</v>
      </c>
      <c r="O3081" s="2"/>
    </row>
    <row r="3082" spans="1:15" x14ac:dyDescent="0.25">
      <c r="A3082" s="2" t="s">
        <v>15</v>
      </c>
      <c r="B3082" s="2" t="str">
        <f>"FES1162771483"</f>
        <v>FES1162771483</v>
      </c>
      <c r="C3082" s="2" t="s">
        <v>1897</v>
      </c>
      <c r="D3082" s="2">
        <v>1</v>
      </c>
      <c r="E3082" s="2" t="str">
        <f>"2170758528"</f>
        <v>2170758528</v>
      </c>
      <c r="F3082" s="2" t="s">
        <v>17</v>
      </c>
      <c r="G3082" s="2" t="s">
        <v>18</v>
      </c>
      <c r="H3082" s="2" t="s">
        <v>33</v>
      </c>
      <c r="I3082" s="2" t="s">
        <v>34</v>
      </c>
      <c r="J3082" s="2" t="s">
        <v>69</v>
      </c>
      <c r="K3082" s="2" t="s">
        <v>1969</v>
      </c>
      <c r="L3082" s="3">
        <v>0.43333333333333335</v>
      </c>
      <c r="M3082" s="2" t="s">
        <v>2126</v>
      </c>
      <c r="N3082" s="2" t="s">
        <v>500</v>
      </c>
      <c r="O3082" s="2"/>
    </row>
    <row r="3083" spans="1:15" x14ac:dyDescent="0.25">
      <c r="A3083" s="2" t="s">
        <v>15</v>
      </c>
      <c r="B3083" s="2" t="str">
        <f>"FES1162771405"</f>
        <v>FES1162771405</v>
      </c>
      <c r="C3083" s="2" t="s">
        <v>1897</v>
      </c>
      <c r="D3083" s="2">
        <v>1</v>
      </c>
      <c r="E3083" s="2" t="str">
        <f>"2170758433"</f>
        <v>2170758433</v>
      </c>
      <c r="F3083" s="2" t="s">
        <v>17</v>
      </c>
      <c r="G3083" s="2" t="s">
        <v>18</v>
      </c>
      <c r="H3083" s="2" t="s">
        <v>88</v>
      </c>
      <c r="I3083" s="2" t="s">
        <v>109</v>
      </c>
      <c r="J3083" s="2" t="s">
        <v>2059</v>
      </c>
      <c r="K3083" s="2" t="s">
        <v>1969</v>
      </c>
      <c r="L3083" s="3">
        <v>0.42708333333333331</v>
      </c>
      <c r="M3083" s="2" t="s">
        <v>2079</v>
      </c>
      <c r="N3083" s="2" t="s">
        <v>500</v>
      </c>
      <c r="O3083" s="2"/>
    </row>
    <row r="3084" spans="1:15" x14ac:dyDescent="0.25">
      <c r="A3084" s="2" t="s">
        <v>15</v>
      </c>
      <c r="B3084" s="2" t="str">
        <f>"FES1162771423"</f>
        <v>FES1162771423</v>
      </c>
      <c r="C3084" s="2" t="s">
        <v>1897</v>
      </c>
      <c r="D3084" s="2">
        <v>1</v>
      </c>
      <c r="E3084" s="2" t="str">
        <f>"2170757693"</f>
        <v>2170757693</v>
      </c>
      <c r="F3084" s="2" t="s">
        <v>17</v>
      </c>
      <c r="G3084" s="2" t="s">
        <v>18</v>
      </c>
      <c r="H3084" s="2" t="s">
        <v>19</v>
      </c>
      <c r="I3084" s="2" t="s">
        <v>20</v>
      </c>
      <c r="J3084" s="2" t="s">
        <v>1296</v>
      </c>
      <c r="K3084" s="2" t="s">
        <v>1969</v>
      </c>
      <c r="L3084" s="3">
        <v>0.52777777777777779</v>
      </c>
      <c r="M3084" s="2" t="s">
        <v>2125</v>
      </c>
      <c r="N3084" s="2" t="s">
        <v>500</v>
      </c>
      <c r="O3084" s="2"/>
    </row>
    <row r="3085" spans="1:15" x14ac:dyDescent="0.25">
      <c r="A3085" s="2" t="s">
        <v>15</v>
      </c>
      <c r="B3085" s="2" t="str">
        <f>"FES1162771474"</f>
        <v>FES1162771474</v>
      </c>
      <c r="C3085" s="2" t="s">
        <v>1897</v>
      </c>
      <c r="D3085" s="2">
        <v>1</v>
      </c>
      <c r="E3085" s="2" t="str">
        <f>"2170758521"</f>
        <v>2170758521</v>
      </c>
      <c r="F3085" s="2" t="s">
        <v>17</v>
      </c>
      <c r="G3085" s="2" t="s">
        <v>18</v>
      </c>
      <c r="H3085" s="2" t="s">
        <v>25</v>
      </c>
      <c r="I3085" s="2" t="s">
        <v>26</v>
      </c>
      <c r="J3085" s="2" t="s">
        <v>75</v>
      </c>
      <c r="K3085" s="2" t="s">
        <v>1969</v>
      </c>
      <c r="L3085" s="3">
        <v>0.33611111111111108</v>
      </c>
      <c r="M3085" s="2" t="s">
        <v>677</v>
      </c>
      <c r="N3085" s="2" t="s">
        <v>500</v>
      </c>
      <c r="O3085" s="2"/>
    </row>
    <row r="3086" spans="1:15" x14ac:dyDescent="0.25">
      <c r="A3086" s="2" t="s">
        <v>15</v>
      </c>
      <c r="B3086" s="2" t="str">
        <f>"FES1162771412"</f>
        <v>FES1162771412</v>
      </c>
      <c r="C3086" s="2" t="s">
        <v>1897</v>
      </c>
      <c r="D3086" s="2">
        <v>1</v>
      </c>
      <c r="E3086" s="2" t="str">
        <f>"2170758442"</f>
        <v>2170758442</v>
      </c>
      <c r="F3086" s="2" t="s">
        <v>17</v>
      </c>
      <c r="G3086" s="2" t="s">
        <v>18</v>
      </c>
      <c r="H3086" s="2" t="s">
        <v>88</v>
      </c>
      <c r="I3086" s="2" t="s">
        <v>109</v>
      </c>
      <c r="J3086" s="2" t="s">
        <v>69</v>
      </c>
      <c r="K3086" s="2" t="s">
        <v>1969</v>
      </c>
      <c r="L3086" s="3">
        <v>0.38194444444444442</v>
      </c>
      <c r="M3086" s="2" t="s">
        <v>2127</v>
      </c>
      <c r="N3086" s="2" t="s">
        <v>500</v>
      </c>
      <c r="O3086" s="2"/>
    </row>
    <row r="3087" spans="1:15" x14ac:dyDescent="0.25">
      <c r="A3087" s="2" t="s">
        <v>15</v>
      </c>
      <c r="B3087" s="2" t="str">
        <f>"FES1162771369"</f>
        <v>FES1162771369</v>
      </c>
      <c r="C3087" s="2" t="s">
        <v>1897</v>
      </c>
      <c r="D3087" s="2">
        <v>1</v>
      </c>
      <c r="E3087" s="2" t="str">
        <f>"2170756528"</f>
        <v>2170756528</v>
      </c>
      <c r="F3087" s="2" t="s">
        <v>17</v>
      </c>
      <c r="G3087" s="2" t="s">
        <v>18</v>
      </c>
      <c r="H3087" s="2" t="s">
        <v>88</v>
      </c>
      <c r="I3087" s="2" t="s">
        <v>109</v>
      </c>
      <c r="J3087" s="2" t="s">
        <v>615</v>
      </c>
      <c r="K3087" s="2" t="s">
        <v>1969</v>
      </c>
      <c r="L3087" s="3">
        <v>0.4055555555555555</v>
      </c>
      <c r="M3087" s="2" t="s">
        <v>172</v>
      </c>
      <c r="N3087" s="2" t="s">
        <v>500</v>
      </c>
      <c r="O3087" s="2"/>
    </row>
    <row r="3088" spans="1:15" x14ac:dyDescent="0.25">
      <c r="A3088" s="2" t="s">
        <v>15</v>
      </c>
      <c r="B3088" s="2" t="str">
        <f>"FES1162771465"</f>
        <v>FES1162771465</v>
      </c>
      <c r="C3088" s="2" t="s">
        <v>1897</v>
      </c>
      <c r="D3088" s="2">
        <v>1</v>
      </c>
      <c r="E3088" s="2" t="str">
        <f>"2170758509"</f>
        <v>2170758509</v>
      </c>
      <c r="F3088" s="2" t="s">
        <v>17</v>
      </c>
      <c r="G3088" s="2" t="s">
        <v>18</v>
      </c>
      <c r="H3088" s="2" t="s">
        <v>18</v>
      </c>
      <c r="I3088" s="2" t="s">
        <v>105</v>
      </c>
      <c r="J3088" s="2" t="s">
        <v>793</v>
      </c>
      <c r="K3088" s="2" t="s">
        <v>1969</v>
      </c>
      <c r="L3088" s="3">
        <v>0.4375</v>
      </c>
      <c r="M3088" s="2" t="s">
        <v>559</v>
      </c>
      <c r="N3088" s="2" t="s">
        <v>500</v>
      </c>
      <c r="O3088" s="2"/>
    </row>
    <row r="3089" spans="1:15" x14ac:dyDescent="0.25">
      <c r="A3089" s="2" t="s">
        <v>15</v>
      </c>
      <c r="B3089" s="2" t="str">
        <f>"FES1162771416"</f>
        <v>FES1162771416</v>
      </c>
      <c r="C3089" s="2" t="s">
        <v>1897</v>
      </c>
      <c r="D3089" s="2">
        <v>1</v>
      </c>
      <c r="E3089" s="2" t="str">
        <f>"2170758069"</f>
        <v>2170758069</v>
      </c>
      <c r="F3089" s="2" t="s">
        <v>17</v>
      </c>
      <c r="G3089" s="2" t="s">
        <v>18</v>
      </c>
      <c r="H3089" s="2" t="s">
        <v>18</v>
      </c>
      <c r="I3089" s="2" t="s">
        <v>157</v>
      </c>
      <c r="J3089" s="2" t="s">
        <v>2060</v>
      </c>
      <c r="K3089" s="2" t="s">
        <v>1969</v>
      </c>
      <c r="L3089" s="3">
        <v>0.4055555555555555</v>
      </c>
      <c r="M3089" s="2" t="s">
        <v>2128</v>
      </c>
      <c r="N3089" s="2" t="s">
        <v>500</v>
      </c>
      <c r="O3089" s="2"/>
    </row>
    <row r="3090" spans="1:15" x14ac:dyDescent="0.25">
      <c r="A3090" s="2" t="s">
        <v>15</v>
      </c>
      <c r="B3090" s="2" t="str">
        <f>"FES1162771456"</f>
        <v>FES1162771456</v>
      </c>
      <c r="C3090" s="2" t="s">
        <v>1897</v>
      </c>
      <c r="D3090" s="2">
        <v>1</v>
      </c>
      <c r="E3090" s="2" t="str">
        <f>"2170758495"</f>
        <v>2170758495</v>
      </c>
      <c r="F3090" s="2" t="s">
        <v>17</v>
      </c>
      <c r="G3090" s="2" t="s">
        <v>18</v>
      </c>
      <c r="H3090" s="2" t="s">
        <v>88</v>
      </c>
      <c r="I3090" s="2" t="s">
        <v>109</v>
      </c>
      <c r="J3090" s="2" t="s">
        <v>155</v>
      </c>
      <c r="K3090" s="2" t="s">
        <v>1969</v>
      </c>
      <c r="L3090" s="3">
        <v>0.38194444444444442</v>
      </c>
      <c r="M3090" s="2" t="s">
        <v>251</v>
      </c>
      <c r="N3090" s="2" t="s">
        <v>500</v>
      </c>
      <c r="O3090" s="2"/>
    </row>
    <row r="3091" spans="1:15" x14ac:dyDescent="0.25">
      <c r="A3091" s="5" t="s">
        <v>15</v>
      </c>
      <c r="B3091" s="5" t="str">
        <f>"FES1162771443"</f>
        <v>FES1162771443</v>
      </c>
      <c r="C3091" s="5" t="s">
        <v>1897</v>
      </c>
      <c r="D3091" s="5">
        <v>1</v>
      </c>
      <c r="E3091" s="5" t="str">
        <f>"2170758328"</f>
        <v>2170758328</v>
      </c>
      <c r="F3091" s="5" t="s">
        <v>17</v>
      </c>
      <c r="G3091" s="5" t="s">
        <v>18</v>
      </c>
      <c r="H3091" s="5" t="s">
        <v>484</v>
      </c>
      <c r="I3091" s="5" t="s">
        <v>675</v>
      </c>
      <c r="J3091" s="5" t="s">
        <v>2061</v>
      </c>
      <c r="K3091" s="5" t="s">
        <v>2138</v>
      </c>
      <c r="L3091" s="5" t="s">
        <v>2221</v>
      </c>
      <c r="M3091" s="5" t="s">
        <v>2220</v>
      </c>
      <c r="N3091" s="5" t="s">
        <v>500</v>
      </c>
      <c r="O3091" s="5"/>
    </row>
    <row r="3092" spans="1:15" x14ac:dyDescent="0.25">
      <c r="A3092" s="5" t="s">
        <v>15</v>
      </c>
      <c r="B3092" s="5" t="str">
        <f>"FES1162771400"</f>
        <v>FES1162771400</v>
      </c>
      <c r="C3092" s="5" t="s">
        <v>1897</v>
      </c>
      <c r="D3092" s="5">
        <v>1</v>
      </c>
      <c r="E3092" s="5" t="str">
        <f>"2170758427"</f>
        <v>2170758427</v>
      </c>
      <c r="F3092" s="5" t="s">
        <v>17</v>
      </c>
      <c r="G3092" s="5" t="s">
        <v>18</v>
      </c>
      <c r="H3092" s="5" t="s">
        <v>18</v>
      </c>
      <c r="I3092" s="5" t="s">
        <v>329</v>
      </c>
      <c r="J3092" s="5" t="s">
        <v>457</v>
      </c>
      <c r="K3092" s="5" t="s">
        <v>1969</v>
      </c>
      <c r="L3092" s="9">
        <v>0.41666666666666669</v>
      </c>
      <c r="M3092" s="5" t="s">
        <v>2129</v>
      </c>
      <c r="N3092" s="5" t="s">
        <v>500</v>
      </c>
      <c r="O3092" s="5"/>
    </row>
    <row r="3093" spans="1:15" x14ac:dyDescent="0.25">
      <c r="A3093" s="2" t="s">
        <v>15</v>
      </c>
      <c r="B3093" s="2" t="str">
        <f>"FES1162771466"</f>
        <v>FES1162771466</v>
      </c>
      <c r="C3093" s="2" t="s">
        <v>1897</v>
      </c>
      <c r="D3093" s="2">
        <v>1</v>
      </c>
      <c r="E3093" s="2" t="str">
        <f>"2170758512"</f>
        <v>2170758512</v>
      </c>
      <c r="F3093" s="2" t="s">
        <v>17</v>
      </c>
      <c r="G3093" s="2" t="s">
        <v>18</v>
      </c>
      <c r="H3093" s="2" t="s">
        <v>18</v>
      </c>
      <c r="I3093" s="2" t="s">
        <v>46</v>
      </c>
      <c r="J3093" s="2" t="s">
        <v>2062</v>
      </c>
      <c r="K3093" s="2" t="s">
        <v>1969</v>
      </c>
      <c r="L3093" s="3">
        <v>0.39652777777777781</v>
      </c>
      <c r="M3093" s="2" t="s">
        <v>2130</v>
      </c>
      <c r="N3093" s="2" t="s">
        <v>500</v>
      </c>
      <c r="O3093" s="2"/>
    </row>
    <row r="3094" spans="1:15" x14ac:dyDescent="0.25">
      <c r="A3094" s="2" t="s">
        <v>15</v>
      </c>
      <c r="B3094" s="2" t="str">
        <f>"FES1162771401"</f>
        <v>FES1162771401</v>
      </c>
      <c r="C3094" s="2" t="s">
        <v>1897</v>
      </c>
      <c r="D3094" s="2">
        <v>1</v>
      </c>
      <c r="E3094" s="2" t="str">
        <f>"2170758425"</f>
        <v>2170758425</v>
      </c>
      <c r="F3094" s="2" t="s">
        <v>17</v>
      </c>
      <c r="G3094" s="2" t="s">
        <v>18</v>
      </c>
      <c r="H3094" s="2" t="s">
        <v>18</v>
      </c>
      <c r="I3094" s="2" t="s">
        <v>63</v>
      </c>
      <c r="J3094" s="2" t="s">
        <v>93</v>
      </c>
      <c r="K3094" s="2" t="s">
        <v>1969</v>
      </c>
      <c r="L3094" s="3">
        <v>0.38680555555555557</v>
      </c>
      <c r="M3094" s="2" t="s">
        <v>210</v>
      </c>
      <c r="N3094" s="2" t="s">
        <v>500</v>
      </c>
      <c r="O3094" s="2"/>
    </row>
    <row r="3095" spans="1:15" x14ac:dyDescent="0.25">
      <c r="A3095" s="2" t="s">
        <v>15</v>
      </c>
      <c r="B3095" s="2" t="str">
        <f>"FES1162771492"</f>
        <v>FES1162771492</v>
      </c>
      <c r="C3095" s="2" t="s">
        <v>1897</v>
      </c>
      <c r="D3095" s="2">
        <v>1</v>
      </c>
      <c r="E3095" s="2" t="str">
        <f>"2170758539"</f>
        <v>2170758539</v>
      </c>
      <c r="F3095" s="2" t="s">
        <v>17</v>
      </c>
      <c r="G3095" s="2" t="s">
        <v>18</v>
      </c>
      <c r="H3095" s="2" t="s">
        <v>25</v>
      </c>
      <c r="I3095" s="2" t="s">
        <v>26</v>
      </c>
      <c r="J3095" s="2" t="s">
        <v>1442</v>
      </c>
      <c r="K3095" s="2" t="s">
        <v>1969</v>
      </c>
      <c r="L3095" s="3">
        <v>0.3923611111111111</v>
      </c>
      <c r="M3095" s="2" t="s">
        <v>2131</v>
      </c>
      <c r="N3095" s="2" t="s">
        <v>500</v>
      </c>
      <c r="O3095" s="2"/>
    </row>
    <row r="3096" spans="1:15" x14ac:dyDescent="0.25">
      <c r="A3096" s="2" t="s">
        <v>15</v>
      </c>
      <c r="B3096" s="2" t="str">
        <f>"FES1162770996"</f>
        <v>FES1162770996</v>
      </c>
      <c r="C3096" s="2" t="s">
        <v>1897</v>
      </c>
      <c r="D3096" s="2">
        <v>1</v>
      </c>
      <c r="E3096" s="2" t="str">
        <f>"2170758151"</f>
        <v>2170758151</v>
      </c>
      <c r="F3096" s="2" t="s">
        <v>17</v>
      </c>
      <c r="G3096" s="2" t="s">
        <v>18</v>
      </c>
      <c r="H3096" s="2" t="s">
        <v>19</v>
      </c>
      <c r="I3096" s="2" t="s">
        <v>111</v>
      </c>
      <c r="J3096" s="2" t="s">
        <v>2063</v>
      </c>
      <c r="K3096" s="2" t="s">
        <v>1969</v>
      </c>
      <c r="L3096" s="3">
        <v>0.375</v>
      </c>
      <c r="M3096" s="2" t="s">
        <v>2132</v>
      </c>
      <c r="N3096" s="2" t="s">
        <v>500</v>
      </c>
      <c r="O3096" s="2"/>
    </row>
    <row r="3097" spans="1:15" x14ac:dyDescent="0.25">
      <c r="A3097" s="2" t="s">
        <v>15</v>
      </c>
      <c r="B3097" s="2" t="str">
        <f>"FES1162771476"</f>
        <v>FES1162771476</v>
      </c>
      <c r="C3097" s="2" t="s">
        <v>1897</v>
      </c>
      <c r="D3097" s="2">
        <v>1</v>
      </c>
      <c r="E3097" s="2" t="str">
        <f>"2170758523"</f>
        <v>2170758523</v>
      </c>
      <c r="F3097" s="2" t="s">
        <v>17</v>
      </c>
      <c r="G3097" s="2" t="s">
        <v>18</v>
      </c>
      <c r="H3097" s="2" t="s">
        <v>18</v>
      </c>
      <c r="I3097" s="2" t="s">
        <v>63</v>
      </c>
      <c r="J3097" s="2" t="s">
        <v>899</v>
      </c>
      <c r="K3097" s="2" t="s">
        <v>1969</v>
      </c>
      <c r="L3097" s="3">
        <v>0.33333333333333331</v>
      </c>
      <c r="M3097" s="2" t="s">
        <v>1171</v>
      </c>
      <c r="N3097" s="2" t="s">
        <v>500</v>
      </c>
      <c r="O3097" s="2"/>
    </row>
    <row r="3098" spans="1:15" x14ac:dyDescent="0.25">
      <c r="A3098" s="2" t="s">
        <v>15</v>
      </c>
      <c r="B3098" s="2" t="str">
        <f>"FES1162771481"</f>
        <v>FES1162771481</v>
      </c>
      <c r="C3098" s="2" t="s">
        <v>1897</v>
      </c>
      <c r="D3098" s="2">
        <v>1</v>
      </c>
      <c r="E3098" s="2" t="str">
        <f>"2170758526"</f>
        <v>2170758526</v>
      </c>
      <c r="F3098" s="2" t="s">
        <v>17</v>
      </c>
      <c r="G3098" s="2" t="s">
        <v>18</v>
      </c>
      <c r="H3098" s="2" t="s">
        <v>18</v>
      </c>
      <c r="I3098" s="2" t="s">
        <v>63</v>
      </c>
      <c r="J3098" s="2" t="s">
        <v>899</v>
      </c>
      <c r="K3098" s="2" t="s">
        <v>1969</v>
      </c>
      <c r="L3098" s="3">
        <v>0.33333333333333331</v>
      </c>
      <c r="M3098" s="2" t="s">
        <v>1171</v>
      </c>
      <c r="N3098" s="2" t="s">
        <v>500</v>
      </c>
      <c r="O3098" s="2"/>
    </row>
    <row r="3099" spans="1:15" x14ac:dyDescent="0.25">
      <c r="A3099" s="2" t="s">
        <v>15</v>
      </c>
      <c r="B3099" s="2" t="str">
        <f>"FES1162771438"</f>
        <v>FES1162771438</v>
      </c>
      <c r="C3099" s="2" t="s">
        <v>1897</v>
      </c>
      <c r="D3099" s="2">
        <v>1</v>
      </c>
      <c r="E3099" s="2" t="str">
        <f>"2170758066"</f>
        <v>2170758066</v>
      </c>
      <c r="F3099" s="2" t="s">
        <v>17</v>
      </c>
      <c r="G3099" s="2" t="s">
        <v>18</v>
      </c>
      <c r="H3099" s="2" t="s">
        <v>78</v>
      </c>
      <c r="I3099" s="2" t="s">
        <v>79</v>
      </c>
      <c r="J3099" s="2" t="s">
        <v>113</v>
      </c>
      <c r="K3099" s="2" t="s">
        <v>1969</v>
      </c>
      <c r="L3099" s="3">
        <v>0.375</v>
      </c>
      <c r="M3099" s="2" t="s">
        <v>2103</v>
      </c>
      <c r="N3099" s="2" t="s">
        <v>500</v>
      </c>
      <c r="O3099" s="2"/>
    </row>
    <row r="3100" spans="1:15" x14ac:dyDescent="0.25">
      <c r="A3100" s="2" t="s">
        <v>15</v>
      </c>
      <c r="B3100" s="2" t="str">
        <f>"FES1162771487"</f>
        <v>FES1162771487</v>
      </c>
      <c r="C3100" s="2" t="s">
        <v>1897</v>
      </c>
      <c r="D3100" s="2">
        <v>1</v>
      </c>
      <c r="E3100" s="2" t="str">
        <f>"2170758532"</f>
        <v>2170758532</v>
      </c>
      <c r="F3100" s="2" t="s">
        <v>17</v>
      </c>
      <c r="G3100" s="2" t="s">
        <v>18</v>
      </c>
      <c r="H3100" s="2" t="s">
        <v>33</v>
      </c>
      <c r="I3100" s="2" t="s">
        <v>34</v>
      </c>
      <c r="J3100" s="2" t="s">
        <v>371</v>
      </c>
      <c r="K3100" s="2" t="s">
        <v>1969</v>
      </c>
      <c r="L3100" s="3">
        <v>0.43333333333333335</v>
      </c>
      <c r="M3100" s="2" t="s">
        <v>2119</v>
      </c>
      <c r="N3100" s="2" t="s">
        <v>500</v>
      </c>
      <c r="O3100" s="2"/>
    </row>
    <row r="3101" spans="1:15" x14ac:dyDescent="0.25">
      <c r="A3101" s="2" t="s">
        <v>15</v>
      </c>
      <c r="B3101" s="2" t="str">
        <f>"FES1162771473"</f>
        <v>FES1162771473</v>
      </c>
      <c r="C3101" s="2" t="s">
        <v>1897</v>
      </c>
      <c r="D3101" s="2">
        <v>1</v>
      </c>
      <c r="E3101" s="2" t="str">
        <f>"2170758520"</f>
        <v>2170758520</v>
      </c>
      <c r="F3101" s="2" t="s">
        <v>17</v>
      </c>
      <c r="G3101" s="2" t="s">
        <v>18</v>
      </c>
      <c r="H3101" s="2" t="s">
        <v>25</v>
      </c>
      <c r="I3101" s="2" t="s">
        <v>26</v>
      </c>
      <c r="J3101" s="2" t="s">
        <v>474</v>
      </c>
      <c r="K3101" s="2" t="s">
        <v>1969</v>
      </c>
      <c r="L3101" s="3">
        <v>0.41666666666666669</v>
      </c>
      <c r="M3101" s="2" t="s">
        <v>1168</v>
      </c>
      <c r="N3101" s="2" t="s">
        <v>500</v>
      </c>
      <c r="O3101" s="2"/>
    </row>
    <row r="3102" spans="1:15" x14ac:dyDescent="0.25">
      <c r="A3102" s="2" t="s">
        <v>15</v>
      </c>
      <c r="B3102" s="2" t="str">
        <f>"FES1162771495"</f>
        <v>FES1162771495</v>
      </c>
      <c r="C3102" s="2" t="s">
        <v>1897</v>
      </c>
      <c r="D3102" s="2">
        <v>1</v>
      </c>
      <c r="E3102" s="2" t="str">
        <f>"2170753850"</f>
        <v>2170753850</v>
      </c>
      <c r="F3102" s="2" t="s">
        <v>17</v>
      </c>
      <c r="G3102" s="2" t="s">
        <v>18</v>
      </c>
      <c r="H3102" s="2" t="s">
        <v>25</v>
      </c>
      <c r="I3102" s="2" t="s">
        <v>39</v>
      </c>
      <c r="J3102" s="2" t="s">
        <v>161</v>
      </c>
      <c r="K3102" s="2" t="s">
        <v>1969</v>
      </c>
      <c r="L3102" s="3">
        <v>0.47847222222222219</v>
      </c>
      <c r="M3102" s="2" t="s">
        <v>977</v>
      </c>
      <c r="N3102" s="2" t="s">
        <v>500</v>
      </c>
      <c r="O3102" s="2"/>
    </row>
    <row r="3103" spans="1:15" x14ac:dyDescent="0.25">
      <c r="A3103" s="2" t="s">
        <v>15</v>
      </c>
      <c r="B3103" s="2" t="str">
        <f>"FES1162771491"</f>
        <v>FES1162771491</v>
      </c>
      <c r="C3103" s="2" t="s">
        <v>1897</v>
      </c>
      <c r="D3103" s="2">
        <v>1</v>
      </c>
      <c r="E3103" s="2" t="str">
        <f>"2170758538"</f>
        <v>2170758538</v>
      </c>
      <c r="F3103" s="2" t="s">
        <v>17</v>
      </c>
      <c r="G3103" s="2" t="s">
        <v>18</v>
      </c>
      <c r="H3103" s="2" t="s">
        <v>25</v>
      </c>
      <c r="I3103" s="2" t="s">
        <v>26</v>
      </c>
      <c r="J3103" s="2" t="s">
        <v>1442</v>
      </c>
      <c r="K3103" s="2" t="s">
        <v>1969</v>
      </c>
      <c r="L3103" s="3">
        <v>0.3923611111111111</v>
      </c>
      <c r="M3103" s="2" t="s">
        <v>2131</v>
      </c>
      <c r="N3103" s="2" t="s">
        <v>500</v>
      </c>
      <c r="O3103" s="2"/>
    </row>
    <row r="3104" spans="1:15" x14ac:dyDescent="0.25">
      <c r="A3104" s="2" t="s">
        <v>15</v>
      </c>
      <c r="B3104" s="2" t="str">
        <f>"FES1162771484"</f>
        <v>FES1162771484</v>
      </c>
      <c r="C3104" s="2" t="s">
        <v>1897</v>
      </c>
      <c r="D3104" s="2">
        <v>1</v>
      </c>
      <c r="E3104" s="2" t="str">
        <f>"2170758529"</f>
        <v>2170758529</v>
      </c>
      <c r="F3104" s="2" t="s">
        <v>17</v>
      </c>
      <c r="G3104" s="2" t="s">
        <v>18</v>
      </c>
      <c r="H3104" s="2" t="s">
        <v>33</v>
      </c>
      <c r="I3104" s="2" t="s">
        <v>34</v>
      </c>
      <c r="J3104" s="2" t="s">
        <v>152</v>
      </c>
      <c r="K3104" s="2" t="s">
        <v>1969</v>
      </c>
      <c r="L3104" s="3">
        <v>0.43333333333333335</v>
      </c>
      <c r="M3104" s="2" t="s">
        <v>1075</v>
      </c>
      <c r="N3104" s="2" t="s">
        <v>500</v>
      </c>
      <c r="O3104" s="2"/>
    </row>
    <row r="3105" spans="1:15" x14ac:dyDescent="0.25">
      <c r="A3105" s="2" t="s">
        <v>15</v>
      </c>
      <c r="B3105" s="2" t="str">
        <f>"FES1162771480"</f>
        <v>FES1162771480</v>
      </c>
      <c r="C3105" s="2" t="s">
        <v>1897</v>
      </c>
      <c r="D3105" s="2">
        <v>1</v>
      </c>
      <c r="E3105" s="2" t="str">
        <f>"2170758510"</f>
        <v>2170758510</v>
      </c>
      <c r="F3105" s="2" t="s">
        <v>17</v>
      </c>
      <c r="G3105" s="2" t="s">
        <v>18</v>
      </c>
      <c r="H3105" s="2" t="s">
        <v>18</v>
      </c>
      <c r="I3105" s="2" t="s">
        <v>63</v>
      </c>
      <c r="J3105" s="2" t="s">
        <v>620</v>
      </c>
      <c r="K3105" s="2" t="s">
        <v>1969</v>
      </c>
      <c r="L3105" s="3">
        <v>0.39999999999999997</v>
      </c>
      <c r="M3105" s="2" t="s">
        <v>1974</v>
      </c>
      <c r="N3105" s="2" t="s">
        <v>500</v>
      </c>
      <c r="O3105" s="2"/>
    </row>
    <row r="3106" spans="1:15" x14ac:dyDescent="0.25">
      <c r="A3106" s="5" t="s">
        <v>15</v>
      </c>
      <c r="B3106" s="5" t="str">
        <f>"FES1162771448"</f>
        <v>FES1162771448</v>
      </c>
      <c r="C3106" s="5" t="s">
        <v>1897</v>
      </c>
      <c r="D3106" s="5">
        <v>1</v>
      </c>
      <c r="E3106" s="5" t="str">
        <f>"2170757310"</f>
        <v>2170757310</v>
      </c>
      <c r="F3106" s="5" t="s">
        <v>17</v>
      </c>
      <c r="G3106" s="5" t="s">
        <v>18</v>
      </c>
      <c r="H3106" s="5" t="s">
        <v>18</v>
      </c>
      <c r="I3106" s="5" t="s">
        <v>157</v>
      </c>
      <c r="J3106" s="5" t="s">
        <v>347</v>
      </c>
      <c r="K3106" s="5" t="s">
        <v>2138</v>
      </c>
      <c r="L3106" s="5" t="s">
        <v>2219</v>
      </c>
      <c r="M3106" s="5" t="s">
        <v>2218</v>
      </c>
      <c r="N3106" s="5" t="s">
        <v>500</v>
      </c>
      <c r="O3106" s="5"/>
    </row>
    <row r="3107" spans="1:15" x14ac:dyDescent="0.25">
      <c r="A3107" s="2" t="s">
        <v>15</v>
      </c>
      <c r="B3107" s="2" t="str">
        <f>"FES1162771496"</f>
        <v>FES1162771496</v>
      </c>
      <c r="C3107" s="2" t="s">
        <v>1897</v>
      </c>
      <c r="D3107" s="2">
        <v>1</v>
      </c>
      <c r="E3107" s="2" t="str">
        <f>"2170753904"</f>
        <v>2170753904</v>
      </c>
      <c r="F3107" s="2" t="s">
        <v>17</v>
      </c>
      <c r="G3107" s="2" t="s">
        <v>18</v>
      </c>
      <c r="H3107" s="2" t="s">
        <v>25</v>
      </c>
      <c r="I3107" s="2" t="s">
        <v>39</v>
      </c>
      <c r="J3107" s="2" t="s">
        <v>161</v>
      </c>
      <c r="K3107" s="2" t="s">
        <v>1969</v>
      </c>
      <c r="L3107" s="3">
        <v>0.4375</v>
      </c>
      <c r="M3107" s="2" t="s">
        <v>977</v>
      </c>
      <c r="N3107" s="2" t="s">
        <v>500</v>
      </c>
      <c r="O3107" s="2"/>
    </row>
    <row r="3108" spans="1:15" x14ac:dyDescent="0.25">
      <c r="A3108" s="2" t="s">
        <v>15</v>
      </c>
      <c r="B3108" s="2" t="str">
        <f>"FES1162771485"</f>
        <v>FES1162771485</v>
      </c>
      <c r="C3108" s="2" t="s">
        <v>1897</v>
      </c>
      <c r="D3108" s="2">
        <v>1</v>
      </c>
      <c r="E3108" s="2" t="str">
        <f>"2170758530"</f>
        <v>2170758530</v>
      </c>
      <c r="F3108" s="2" t="s">
        <v>17</v>
      </c>
      <c r="G3108" s="2" t="s">
        <v>18</v>
      </c>
      <c r="H3108" s="2" t="s">
        <v>33</v>
      </c>
      <c r="I3108" s="2" t="s">
        <v>34</v>
      </c>
      <c r="J3108" s="2" t="s">
        <v>69</v>
      </c>
      <c r="K3108" s="2" t="s">
        <v>1969</v>
      </c>
      <c r="L3108" s="3">
        <v>0.43333333333333335</v>
      </c>
      <c r="M3108" s="2" t="s">
        <v>2126</v>
      </c>
      <c r="N3108" s="2" t="s">
        <v>500</v>
      </c>
      <c r="O3108" s="2"/>
    </row>
    <row r="3109" spans="1:15" x14ac:dyDescent="0.25">
      <c r="A3109" s="2" t="s">
        <v>15</v>
      </c>
      <c r="B3109" s="2" t="str">
        <f>"FES1162771493"</f>
        <v>FES1162771493</v>
      </c>
      <c r="C3109" s="2" t="s">
        <v>1897</v>
      </c>
      <c r="D3109" s="2">
        <v>1</v>
      </c>
      <c r="E3109" s="2" t="str">
        <f>"2170758540"</f>
        <v>2170758540</v>
      </c>
      <c r="F3109" s="2" t="s">
        <v>17</v>
      </c>
      <c r="G3109" s="2" t="s">
        <v>18</v>
      </c>
      <c r="H3109" s="2" t="s">
        <v>33</v>
      </c>
      <c r="I3109" s="2" t="s">
        <v>34</v>
      </c>
      <c r="J3109" s="2" t="s">
        <v>400</v>
      </c>
      <c r="K3109" s="2" t="s">
        <v>1969</v>
      </c>
      <c r="L3109" s="3">
        <v>0.54513888888888895</v>
      </c>
      <c r="M3109" s="2" t="s">
        <v>706</v>
      </c>
      <c r="N3109" s="2" t="s">
        <v>500</v>
      </c>
      <c r="O3109" s="2"/>
    </row>
    <row r="3110" spans="1:15" x14ac:dyDescent="0.25">
      <c r="A3110" s="2" t="s">
        <v>15</v>
      </c>
      <c r="B3110" s="2" t="str">
        <f>"FES1162771284"</f>
        <v>FES1162771284</v>
      </c>
      <c r="C3110" s="2" t="s">
        <v>1897</v>
      </c>
      <c r="D3110" s="2">
        <v>1</v>
      </c>
      <c r="E3110" s="2" t="str">
        <f>"2170755759"</f>
        <v>2170755759</v>
      </c>
      <c r="F3110" s="2" t="s">
        <v>17</v>
      </c>
      <c r="G3110" s="2" t="s">
        <v>18</v>
      </c>
      <c r="H3110" s="2" t="s">
        <v>36</v>
      </c>
      <c r="I3110" s="2" t="s">
        <v>37</v>
      </c>
      <c r="J3110" s="2" t="s">
        <v>403</v>
      </c>
      <c r="K3110" s="2" t="s">
        <v>1969</v>
      </c>
      <c r="L3110" s="3">
        <v>0.40763888888888888</v>
      </c>
      <c r="M3110" s="2" t="s">
        <v>350</v>
      </c>
      <c r="N3110" s="2" t="s">
        <v>500</v>
      </c>
      <c r="O3110" s="2"/>
    </row>
    <row r="3111" spans="1:15" x14ac:dyDescent="0.25">
      <c r="A3111" s="2" t="s">
        <v>15</v>
      </c>
      <c r="B3111" s="2" t="str">
        <f>"009940283625"</f>
        <v>009940283625</v>
      </c>
      <c r="C3111" s="2" t="s">
        <v>1897</v>
      </c>
      <c r="D3111" s="2">
        <v>1</v>
      </c>
      <c r="E3111" s="2" t="str">
        <f>"1162768075"</f>
        <v>1162768075</v>
      </c>
      <c r="F3111" s="2" t="s">
        <v>17</v>
      </c>
      <c r="G3111" s="2" t="s">
        <v>18</v>
      </c>
      <c r="H3111" s="2" t="s">
        <v>120</v>
      </c>
      <c r="I3111" s="2" t="s">
        <v>121</v>
      </c>
      <c r="J3111" s="2" t="s">
        <v>2064</v>
      </c>
      <c r="K3111" s="2" t="s">
        <v>1969</v>
      </c>
      <c r="L3111" s="3">
        <v>0.5</v>
      </c>
      <c r="M3111" s="2" t="s">
        <v>2133</v>
      </c>
      <c r="N3111" s="2" t="s">
        <v>500</v>
      </c>
      <c r="O3111" s="2"/>
    </row>
    <row r="3112" spans="1:15" x14ac:dyDescent="0.25">
      <c r="A3112" s="2" t="s">
        <v>15</v>
      </c>
      <c r="B3112" s="2" t="str">
        <f>"FES1162771499"</f>
        <v>FES1162771499</v>
      </c>
      <c r="C3112" s="2" t="s">
        <v>1897</v>
      </c>
      <c r="D3112" s="2">
        <v>1</v>
      </c>
      <c r="E3112" s="2" t="str">
        <f>"2170758535"</f>
        <v>2170758535</v>
      </c>
      <c r="F3112" s="2" t="s">
        <v>17</v>
      </c>
      <c r="G3112" s="2" t="s">
        <v>18</v>
      </c>
      <c r="H3112" s="2" t="s">
        <v>19</v>
      </c>
      <c r="I3112" s="2" t="s">
        <v>20</v>
      </c>
      <c r="J3112" s="2" t="s">
        <v>447</v>
      </c>
      <c r="K3112" s="2" t="s">
        <v>1969</v>
      </c>
      <c r="L3112" s="3">
        <v>0.55902777777777779</v>
      </c>
      <c r="M3112" s="2" t="s">
        <v>2102</v>
      </c>
      <c r="N3112" s="2" t="s">
        <v>500</v>
      </c>
      <c r="O3112" s="2"/>
    </row>
    <row r="3113" spans="1:15" x14ac:dyDescent="0.25">
      <c r="A3113" s="2" t="s">
        <v>15</v>
      </c>
      <c r="B3113" s="2" t="str">
        <f>"FES1162771504"</f>
        <v>FES1162771504</v>
      </c>
      <c r="C3113" s="2" t="s">
        <v>1897</v>
      </c>
      <c r="D3113" s="2">
        <v>1</v>
      </c>
      <c r="E3113" s="2" t="str">
        <f>"2170758551"</f>
        <v>2170758551</v>
      </c>
      <c r="F3113" s="2" t="s">
        <v>17</v>
      </c>
      <c r="G3113" s="2" t="s">
        <v>18</v>
      </c>
      <c r="H3113" s="2" t="s">
        <v>78</v>
      </c>
      <c r="I3113" s="2" t="s">
        <v>79</v>
      </c>
      <c r="J3113" s="2" t="s">
        <v>113</v>
      </c>
      <c r="K3113" s="2" t="s">
        <v>1969</v>
      </c>
      <c r="L3113" s="3">
        <v>0.37638888888888888</v>
      </c>
      <c r="M3113" s="2" t="s">
        <v>2103</v>
      </c>
      <c r="N3113" s="2" t="s">
        <v>500</v>
      </c>
      <c r="O3113" s="2"/>
    </row>
    <row r="3114" spans="1:15" x14ac:dyDescent="0.25">
      <c r="A3114" s="2" t="s">
        <v>15</v>
      </c>
      <c r="B3114" s="2" t="str">
        <f>"FES1162771505"</f>
        <v>FES1162771505</v>
      </c>
      <c r="C3114" s="2" t="s">
        <v>1897</v>
      </c>
      <c r="D3114" s="2">
        <v>1</v>
      </c>
      <c r="E3114" s="2" t="str">
        <f>"2170758554"</f>
        <v>2170758554</v>
      </c>
      <c r="F3114" s="2" t="s">
        <v>17</v>
      </c>
      <c r="G3114" s="2" t="s">
        <v>18</v>
      </c>
      <c r="H3114" s="2" t="s">
        <v>18</v>
      </c>
      <c r="I3114" s="2" t="s">
        <v>57</v>
      </c>
      <c r="J3114" s="2" t="s">
        <v>103</v>
      </c>
      <c r="K3114" s="2" t="s">
        <v>1969</v>
      </c>
      <c r="L3114" s="3">
        <v>0.28194444444444444</v>
      </c>
      <c r="M3114" s="2" t="s">
        <v>220</v>
      </c>
      <c r="N3114" s="2" t="s">
        <v>500</v>
      </c>
      <c r="O3114" s="2"/>
    </row>
    <row r="3115" spans="1:15" x14ac:dyDescent="0.25">
      <c r="A3115" s="2" t="s">
        <v>15</v>
      </c>
      <c r="B3115" s="2" t="str">
        <f>"FES1162771494"</f>
        <v>FES1162771494</v>
      </c>
      <c r="C3115" s="2" t="s">
        <v>1897</v>
      </c>
      <c r="D3115" s="2">
        <v>2</v>
      </c>
      <c r="E3115" s="2" t="str">
        <f>"2170758294"</f>
        <v>2170758294</v>
      </c>
      <c r="F3115" s="2" t="s">
        <v>17</v>
      </c>
      <c r="G3115" s="2" t="s">
        <v>18</v>
      </c>
      <c r="H3115" s="2" t="s">
        <v>19</v>
      </c>
      <c r="I3115" s="2" t="s">
        <v>114</v>
      </c>
      <c r="J3115" s="2" t="s">
        <v>2065</v>
      </c>
      <c r="K3115" s="2" t="s">
        <v>1969</v>
      </c>
      <c r="L3115" s="3">
        <v>0.3979166666666667</v>
      </c>
      <c r="M3115" s="2" t="s">
        <v>2134</v>
      </c>
      <c r="N3115" s="2" t="s">
        <v>500</v>
      </c>
      <c r="O3115" s="2"/>
    </row>
    <row r="3116" spans="1:15" x14ac:dyDescent="0.25">
      <c r="A3116" s="2" t="s">
        <v>15</v>
      </c>
      <c r="B3116" s="2" t="str">
        <f>"FES1162771497"</f>
        <v>FES1162771497</v>
      </c>
      <c r="C3116" s="2" t="s">
        <v>1897</v>
      </c>
      <c r="D3116" s="2">
        <v>1</v>
      </c>
      <c r="E3116" s="2" t="str">
        <f>"2170757958"</f>
        <v>2170757958</v>
      </c>
      <c r="F3116" s="2" t="s">
        <v>17</v>
      </c>
      <c r="G3116" s="2" t="s">
        <v>18</v>
      </c>
      <c r="H3116" s="2" t="s">
        <v>19</v>
      </c>
      <c r="I3116" s="2" t="s">
        <v>20</v>
      </c>
      <c r="J3116" s="2" t="s">
        <v>327</v>
      </c>
      <c r="K3116" s="2" t="s">
        <v>1969</v>
      </c>
      <c r="L3116" s="3">
        <v>0.35000000000000003</v>
      </c>
      <c r="M3116" s="2" t="s">
        <v>529</v>
      </c>
      <c r="N3116" s="2" t="s">
        <v>500</v>
      </c>
      <c r="O3116" s="2"/>
    </row>
    <row r="3117" spans="1:15" x14ac:dyDescent="0.25">
      <c r="A3117" s="2" t="s">
        <v>15</v>
      </c>
      <c r="B3117" s="2" t="str">
        <f>"FES1162771510"</f>
        <v>FES1162771510</v>
      </c>
      <c r="C3117" s="2" t="s">
        <v>1897</v>
      </c>
      <c r="D3117" s="2">
        <v>1</v>
      </c>
      <c r="E3117" s="2" t="str">
        <f>"2170758558"</f>
        <v>2170758558</v>
      </c>
      <c r="F3117" s="2" t="s">
        <v>17</v>
      </c>
      <c r="G3117" s="2" t="s">
        <v>18</v>
      </c>
      <c r="H3117" s="2" t="s">
        <v>120</v>
      </c>
      <c r="I3117" s="2" t="s">
        <v>121</v>
      </c>
      <c r="J3117" s="2" t="s">
        <v>2066</v>
      </c>
      <c r="K3117" s="2" t="s">
        <v>1969</v>
      </c>
      <c r="L3117" s="3">
        <v>0.58333333333333337</v>
      </c>
      <c r="M3117" s="2" t="s">
        <v>2135</v>
      </c>
      <c r="N3117" s="2" t="s">
        <v>500</v>
      </c>
      <c r="O3117" s="2"/>
    </row>
    <row r="3118" spans="1:15" x14ac:dyDescent="0.25">
      <c r="A3118" s="2" t="s">
        <v>15</v>
      </c>
      <c r="B3118" s="2" t="str">
        <f>"FES1162771502"</f>
        <v>FES1162771502</v>
      </c>
      <c r="C3118" s="2" t="s">
        <v>1897</v>
      </c>
      <c r="D3118" s="2">
        <v>1</v>
      </c>
      <c r="E3118" s="2" t="str">
        <f>"2170758549"</f>
        <v>2170758549</v>
      </c>
      <c r="F3118" s="2" t="s">
        <v>17</v>
      </c>
      <c r="G3118" s="2" t="s">
        <v>18</v>
      </c>
      <c r="H3118" s="2" t="s">
        <v>18</v>
      </c>
      <c r="I3118" s="2" t="s">
        <v>63</v>
      </c>
      <c r="J3118" s="2" t="s">
        <v>93</v>
      </c>
      <c r="K3118" s="2" t="s">
        <v>1969</v>
      </c>
      <c r="L3118" s="3">
        <v>0.38472222222222219</v>
      </c>
      <c r="M3118" s="2" t="s">
        <v>210</v>
      </c>
      <c r="N3118" s="2" t="s">
        <v>500</v>
      </c>
      <c r="O3118" s="2"/>
    </row>
    <row r="3119" spans="1:15" x14ac:dyDescent="0.25">
      <c r="A3119" s="5" t="s">
        <v>15</v>
      </c>
      <c r="B3119" s="5" t="str">
        <f>"FES1162771479"</f>
        <v>FES1162771479</v>
      </c>
      <c r="C3119" s="5" t="s">
        <v>1897</v>
      </c>
      <c r="D3119" s="5">
        <v>1</v>
      </c>
      <c r="E3119" s="5" t="str">
        <f>"2170757942"</f>
        <v>2170757942</v>
      </c>
      <c r="F3119" s="5" t="s">
        <v>17</v>
      </c>
      <c r="G3119" s="5" t="s">
        <v>18</v>
      </c>
      <c r="H3119" s="5" t="s">
        <v>18</v>
      </c>
      <c r="I3119" s="5" t="s">
        <v>157</v>
      </c>
      <c r="J3119" s="5" t="s">
        <v>347</v>
      </c>
      <c r="K3119" s="5" t="s">
        <v>2138</v>
      </c>
      <c r="L3119" s="5" t="s">
        <v>2219</v>
      </c>
      <c r="M3119" s="5" t="s">
        <v>2218</v>
      </c>
      <c r="N3119" s="5" t="s">
        <v>500</v>
      </c>
      <c r="O3119" s="5"/>
    </row>
    <row r="3120" spans="1:15" x14ac:dyDescent="0.25">
      <c r="A3120" s="2" t="s">
        <v>15</v>
      </c>
      <c r="B3120" s="2" t="str">
        <f>"FES1162771511"</f>
        <v>FES1162771511</v>
      </c>
      <c r="C3120" s="2" t="s">
        <v>1897</v>
      </c>
      <c r="D3120" s="2">
        <v>1</v>
      </c>
      <c r="E3120" s="2" t="str">
        <f>"2170758560"</f>
        <v>2170758560</v>
      </c>
      <c r="F3120" s="2" t="s">
        <v>17</v>
      </c>
      <c r="G3120" s="2" t="s">
        <v>18</v>
      </c>
      <c r="H3120" s="2" t="s">
        <v>18</v>
      </c>
      <c r="I3120" s="2" t="s">
        <v>116</v>
      </c>
      <c r="J3120" s="2" t="s">
        <v>2067</v>
      </c>
      <c r="K3120" s="2" t="s">
        <v>1969</v>
      </c>
      <c r="L3120" s="3">
        <v>0.4375</v>
      </c>
      <c r="M3120" s="2" t="s">
        <v>2136</v>
      </c>
      <c r="N3120" s="2" t="s">
        <v>500</v>
      </c>
      <c r="O3120" s="2"/>
    </row>
    <row r="3121" spans="1:17" x14ac:dyDescent="0.25">
      <c r="A3121" s="2" t="s">
        <v>15</v>
      </c>
      <c r="B3121" s="2" t="str">
        <f>"FES1162771503"</f>
        <v>FES1162771503</v>
      </c>
      <c r="C3121" s="2" t="s">
        <v>1897</v>
      </c>
      <c r="D3121" s="2">
        <v>1</v>
      </c>
      <c r="E3121" s="2" t="str">
        <f>"2170758550"</f>
        <v>2170758550</v>
      </c>
      <c r="F3121" s="2" t="s">
        <v>17</v>
      </c>
      <c r="G3121" s="2" t="s">
        <v>18</v>
      </c>
      <c r="H3121" s="2" t="s">
        <v>18</v>
      </c>
      <c r="I3121" s="2" t="s">
        <v>63</v>
      </c>
      <c r="J3121" s="2" t="s">
        <v>93</v>
      </c>
      <c r="K3121" s="2" t="s">
        <v>1969</v>
      </c>
      <c r="L3121" s="3">
        <v>0.38541666666666669</v>
      </c>
      <c r="M3121" s="2" t="s">
        <v>210</v>
      </c>
      <c r="N3121" s="2" t="s">
        <v>500</v>
      </c>
      <c r="O3121" s="2"/>
    </row>
    <row r="3122" spans="1:17" x14ac:dyDescent="0.25">
      <c r="A3122" s="5" t="s">
        <v>15</v>
      </c>
      <c r="B3122" s="5" t="str">
        <f>"FES1162771500"</f>
        <v>FES1162771500</v>
      </c>
      <c r="C3122" s="5" t="s">
        <v>1897</v>
      </c>
      <c r="D3122" s="5">
        <v>1</v>
      </c>
      <c r="E3122" s="5" t="str">
        <f>"2170758546"</f>
        <v>2170758546</v>
      </c>
      <c r="F3122" s="5" t="s">
        <v>17</v>
      </c>
      <c r="G3122" s="5" t="s">
        <v>18</v>
      </c>
      <c r="H3122" s="5" t="s">
        <v>25</v>
      </c>
      <c r="I3122" s="5" t="s">
        <v>26</v>
      </c>
      <c r="J3122" s="5" t="s">
        <v>2068</v>
      </c>
      <c r="K3122" s="5" t="s">
        <v>2197</v>
      </c>
      <c r="L3122" s="9">
        <v>0.35416666666666669</v>
      </c>
      <c r="M3122" s="5" t="s">
        <v>2309</v>
      </c>
      <c r="N3122" s="5" t="s">
        <v>500</v>
      </c>
      <c r="O3122" s="5"/>
    </row>
    <row r="3123" spans="1:17" x14ac:dyDescent="0.25">
      <c r="A3123" s="2" t="s">
        <v>15</v>
      </c>
      <c r="B3123" s="2" t="str">
        <f>"FES1162771501"</f>
        <v>FES1162771501</v>
      </c>
      <c r="C3123" s="2" t="s">
        <v>1897</v>
      </c>
      <c r="D3123" s="2">
        <v>1</v>
      </c>
      <c r="E3123" s="2" t="str">
        <f>"2170758547"</f>
        <v>2170758547</v>
      </c>
      <c r="F3123" s="2" t="s">
        <v>17</v>
      </c>
      <c r="G3123" s="2" t="s">
        <v>18</v>
      </c>
      <c r="H3123" s="2" t="s">
        <v>18</v>
      </c>
      <c r="I3123" s="2" t="s">
        <v>63</v>
      </c>
      <c r="J3123" s="2" t="s">
        <v>93</v>
      </c>
      <c r="K3123" s="2" t="s">
        <v>1969</v>
      </c>
      <c r="L3123" s="3">
        <v>0.38611111111111113</v>
      </c>
      <c r="M3123" s="2" t="s">
        <v>210</v>
      </c>
      <c r="N3123" s="2" t="s">
        <v>500</v>
      </c>
      <c r="O3123" s="2"/>
    </row>
    <row r="3124" spans="1:17" x14ac:dyDescent="0.25">
      <c r="A3124" s="2" t="s">
        <v>15</v>
      </c>
      <c r="B3124" s="2" t="str">
        <f>"FES1162771034"</f>
        <v>FES1162771034</v>
      </c>
      <c r="C3124" s="2" t="s">
        <v>1897</v>
      </c>
      <c r="D3124" s="2">
        <v>1</v>
      </c>
      <c r="E3124" s="2" t="str">
        <f>"2170758184"</f>
        <v>2170758184</v>
      </c>
      <c r="F3124" s="2" t="s">
        <v>17</v>
      </c>
      <c r="G3124" s="2" t="s">
        <v>18</v>
      </c>
      <c r="H3124" s="2" t="s">
        <v>19</v>
      </c>
      <c r="I3124" s="2" t="s">
        <v>111</v>
      </c>
      <c r="J3124" s="2" t="s">
        <v>2069</v>
      </c>
      <c r="K3124" s="2" t="s">
        <v>1969</v>
      </c>
      <c r="L3124" s="3">
        <v>0.4548611111111111</v>
      </c>
      <c r="M3124" s="2" t="s">
        <v>2137</v>
      </c>
      <c r="N3124" s="2" t="s">
        <v>500</v>
      </c>
      <c r="O3124" s="2"/>
    </row>
    <row r="3125" spans="1:17" x14ac:dyDescent="0.25">
      <c r="A3125" s="2" t="s">
        <v>15</v>
      </c>
      <c r="B3125" s="2" t="str">
        <f>"FES1162771586"</f>
        <v>FES1162771586</v>
      </c>
      <c r="C3125" s="2" t="s">
        <v>1969</v>
      </c>
      <c r="D3125" s="2">
        <v>1</v>
      </c>
      <c r="E3125" s="2" t="str">
        <f>"2170758604"</f>
        <v>2170758604</v>
      </c>
      <c r="F3125" s="2" t="s">
        <v>17</v>
      </c>
      <c r="G3125" s="2" t="s">
        <v>18</v>
      </c>
      <c r="H3125" s="2" t="s">
        <v>88</v>
      </c>
      <c r="I3125" s="2" t="s">
        <v>109</v>
      </c>
      <c r="J3125" s="2" t="s">
        <v>779</v>
      </c>
      <c r="K3125" s="2" t="s">
        <v>2138</v>
      </c>
      <c r="L3125" s="3">
        <v>0.70000000000000007</v>
      </c>
      <c r="M3125" s="2" t="s">
        <v>2161</v>
      </c>
      <c r="N3125" s="2" t="s">
        <v>500</v>
      </c>
      <c r="O3125" s="2" t="s">
        <v>23</v>
      </c>
      <c r="P3125" t="s">
        <v>2237</v>
      </c>
      <c r="Q3125" t="s">
        <v>2238</v>
      </c>
    </row>
    <row r="3126" spans="1:17" x14ac:dyDescent="0.25">
      <c r="A3126" s="2" t="s">
        <v>15</v>
      </c>
      <c r="B3126" s="2" t="str">
        <f>"FES1162771512"</f>
        <v>FES1162771512</v>
      </c>
      <c r="C3126" s="2" t="s">
        <v>1969</v>
      </c>
      <c r="D3126" s="2">
        <v>1</v>
      </c>
      <c r="E3126" s="2" t="str">
        <f>"2170758442"</f>
        <v>2170758442</v>
      </c>
      <c r="F3126" s="2" t="s">
        <v>17</v>
      </c>
      <c r="G3126" s="2" t="s">
        <v>18</v>
      </c>
      <c r="H3126" s="2" t="s">
        <v>88</v>
      </c>
      <c r="I3126" s="2" t="s">
        <v>109</v>
      </c>
      <c r="J3126" s="2" t="s">
        <v>69</v>
      </c>
      <c r="K3126" s="2" t="s">
        <v>2138</v>
      </c>
      <c r="L3126" s="3">
        <v>0.41319444444444442</v>
      </c>
      <c r="M3126" s="2" t="s">
        <v>250</v>
      </c>
      <c r="N3126" s="2" t="s">
        <v>500</v>
      </c>
      <c r="O3126" s="2"/>
    </row>
    <row r="3127" spans="1:17" x14ac:dyDescent="0.25">
      <c r="A3127" s="2" t="s">
        <v>15</v>
      </c>
      <c r="B3127" s="2" t="str">
        <f>"FES1162771519"</f>
        <v>FES1162771519</v>
      </c>
      <c r="C3127" s="2" t="s">
        <v>1969</v>
      </c>
      <c r="D3127" s="2">
        <v>1</v>
      </c>
      <c r="E3127" s="2" t="str">
        <f>"2170756924"</f>
        <v>2170756924</v>
      </c>
      <c r="F3127" s="2" t="s">
        <v>17</v>
      </c>
      <c r="G3127" s="2" t="s">
        <v>18</v>
      </c>
      <c r="H3127" s="2" t="s">
        <v>36</v>
      </c>
      <c r="I3127" s="2" t="s">
        <v>37</v>
      </c>
      <c r="J3127" s="2" t="s">
        <v>104</v>
      </c>
      <c r="K3127" s="2" t="s">
        <v>2138</v>
      </c>
      <c r="L3127" s="3">
        <v>0.42708333333333331</v>
      </c>
      <c r="M3127" s="2" t="s">
        <v>221</v>
      </c>
      <c r="N3127" s="2" t="s">
        <v>500</v>
      </c>
      <c r="O3127" s="2"/>
    </row>
    <row r="3128" spans="1:17" x14ac:dyDescent="0.25">
      <c r="A3128" s="15" t="s">
        <v>15</v>
      </c>
      <c r="B3128" s="15" t="str">
        <f>"FES1162771516"</f>
        <v>FES1162771516</v>
      </c>
      <c r="C3128" s="15" t="s">
        <v>1969</v>
      </c>
      <c r="D3128" s="15">
        <v>1</v>
      </c>
      <c r="E3128" s="15" t="str">
        <f>"2170755947"</f>
        <v>2170755947</v>
      </c>
      <c r="F3128" s="15" t="s">
        <v>17</v>
      </c>
      <c r="G3128" s="15" t="s">
        <v>18</v>
      </c>
      <c r="H3128" s="15" t="s">
        <v>18</v>
      </c>
      <c r="I3128" s="15" t="s">
        <v>290</v>
      </c>
      <c r="J3128" s="15" t="s">
        <v>1309</v>
      </c>
      <c r="K3128" s="15" t="s">
        <v>2282</v>
      </c>
      <c r="L3128" s="16">
        <v>0.34166666666666662</v>
      </c>
      <c r="M3128" s="15" t="s">
        <v>262</v>
      </c>
      <c r="N3128" s="15" t="s">
        <v>2310</v>
      </c>
      <c r="O3128" s="15" t="s">
        <v>2239</v>
      </c>
    </row>
    <row r="3129" spans="1:17" x14ac:dyDescent="0.25">
      <c r="A3129" s="2" t="s">
        <v>15</v>
      </c>
      <c r="B3129" s="2" t="str">
        <f>"FES1162771530"</f>
        <v>FES1162771530</v>
      </c>
      <c r="C3129" s="2" t="s">
        <v>1969</v>
      </c>
      <c r="D3129" s="2">
        <v>1</v>
      </c>
      <c r="E3129" s="2" t="str">
        <f>"2170758561"</f>
        <v>2170758561</v>
      </c>
      <c r="F3129" s="2" t="s">
        <v>17</v>
      </c>
      <c r="G3129" s="2" t="s">
        <v>18</v>
      </c>
      <c r="H3129" s="2" t="s">
        <v>18</v>
      </c>
      <c r="I3129" s="2" t="s">
        <v>63</v>
      </c>
      <c r="J3129" s="2" t="s">
        <v>2139</v>
      </c>
      <c r="K3129" s="2" t="s">
        <v>2138</v>
      </c>
      <c r="L3129" s="3">
        <v>0.41041666666666665</v>
      </c>
      <c r="M3129" s="2" t="s">
        <v>683</v>
      </c>
      <c r="N3129" s="2" t="s">
        <v>500</v>
      </c>
      <c r="O3129" s="2"/>
    </row>
    <row r="3130" spans="1:17" x14ac:dyDescent="0.25">
      <c r="A3130" s="2" t="s">
        <v>15</v>
      </c>
      <c r="B3130" s="2" t="str">
        <f>"009940283633"</f>
        <v>009940283633</v>
      </c>
      <c r="C3130" s="2" t="s">
        <v>1969</v>
      </c>
      <c r="D3130" s="2">
        <v>1</v>
      </c>
      <c r="E3130" s="2" t="str">
        <f>"STOCK CORRECTION 1162771139"</f>
        <v>STOCK CORRECTION 1162771139</v>
      </c>
      <c r="F3130" s="2" t="s">
        <v>17</v>
      </c>
      <c r="G3130" s="2" t="s">
        <v>18</v>
      </c>
      <c r="H3130" s="2" t="s">
        <v>18</v>
      </c>
      <c r="I3130" s="2" t="s">
        <v>290</v>
      </c>
      <c r="J3130" s="2" t="s">
        <v>492</v>
      </c>
      <c r="K3130" s="2" t="s">
        <v>2138</v>
      </c>
      <c r="L3130" s="3">
        <v>0.42083333333333334</v>
      </c>
      <c r="M3130" s="2" t="s">
        <v>2162</v>
      </c>
      <c r="N3130" s="2" t="s">
        <v>500</v>
      </c>
      <c r="O3130" s="2"/>
    </row>
    <row r="3131" spans="1:17" x14ac:dyDescent="0.25">
      <c r="A3131" s="2" t="s">
        <v>15</v>
      </c>
      <c r="B3131" s="2" t="str">
        <f>"009940283643"</f>
        <v>009940283643</v>
      </c>
      <c r="C3131" s="2" t="s">
        <v>1969</v>
      </c>
      <c r="D3131" s="2">
        <v>1</v>
      </c>
      <c r="E3131" s="2" t="str">
        <f>"2170756725"</f>
        <v>2170756725</v>
      </c>
      <c r="F3131" s="2" t="s">
        <v>17</v>
      </c>
      <c r="G3131" s="2" t="s">
        <v>18</v>
      </c>
      <c r="H3131" s="2" t="s">
        <v>36</v>
      </c>
      <c r="I3131" s="2" t="s">
        <v>37</v>
      </c>
      <c r="J3131" s="2" t="s">
        <v>476</v>
      </c>
      <c r="K3131" s="2" t="s">
        <v>2138</v>
      </c>
      <c r="L3131" s="3">
        <v>0.40972222222222227</v>
      </c>
      <c r="M3131" s="2" t="s">
        <v>1380</v>
      </c>
      <c r="N3131" s="2" t="s">
        <v>500</v>
      </c>
      <c r="O3131" s="2"/>
    </row>
    <row r="3132" spans="1:17" x14ac:dyDescent="0.25">
      <c r="A3132" s="2" t="s">
        <v>15</v>
      </c>
      <c r="B3132" s="2" t="str">
        <f>"FES1162771527"</f>
        <v>FES1162771527</v>
      </c>
      <c r="C3132" s="2" t="s">
        <v>1969</v>
      </c>
      <c r="D3132" s="2">
        <v>1</v>
      </c>
      <c r="E3132" s="2" t="str">
        <f>"2170758246"</f>
        <v>2170758246</v>
      </c>
      <c r="F3132" s="2" t="s">
        <v>17</v>
      </c>
      <c r="G3132" s="2" t="s">
        <v>18</v>
      </c>
      <c r="H3132" s="2" t="s">
        <v>18</v>
      </c>
      <c r="I3132" s="2" t="s">
        <v>57</v>
      </c>
      <c r="J3132" s="2" t="s">
        <v>2140</v>
      </c>
      <c r="K3132" s="2" t="s">
        <v>2138</v>
      </c>
      <c r="L3132" s="3">
        <v>0.33333333333333331</v>
      </c>
      <c r="M3132" s="2" t="s">
        <v>2163</v>
      </c>
      <c r="N3132" s="2" t="s">
        <v>500</v>
      </c>
      <c r="O3132" s="2"/>
    </row>
    <row r="3133" spans="1:17" x14ac:dyDescent="0.25">
      <c r="A3133" s="2" t="s">
        <v>15</v>
      </c>
      <c r="B3133" s="2" t="str">
        <f>"FES1162771529"</f>
        <v>FES1162771529</v>
      </c>
      <c r="C3133" s="2" t="s">
        <v>1969</v>
      </c>
      <c r="D3133" s="2">
        <v>1</v>
      </c>
      <c r="E3133" s="2" t="str">
        <f>"2170758517"</f>
        <v>2170758517</v>
      </c>
      <c r="F3133" s="2" t="s">
        <v>17</v>
      </c>
      <c r="G3133" s="2" t="s">
        <v>18</v>
      </c>
      <c r="H3133" s="2" t="s">
        <v>18</v>
      </c>
      <c r="I3133" s="2" t="s">
        <v>50</v>
      </c>
      <c r="J3133" s="2" t="s">
        <v>2141</v>
      </c>
      <c r="K3133" s="2" t="s">
        <v>2138</v>
      </c>
      <c r="L3133" s="3">
        <v>0.4375</v>
      </c>
      <c r="M3133" s="2" t="s">
        <v>2164</v>
      </c>
      <c r="N3133" s="2" t="s">
        <v>500</v>
      </c>
      <c r="O3133" s="2"/>
    </row>
    <row r="3134" spans="1:17" x14ac:dyDescent="0.25">
      <c r="A3134" s="2" t="s">
        <v>15</v>
      </c>
      <c r="B3134" s="2" t="str">
        <f>"FES1162771551"</f>
        <v>FES1162771551</v>
      </c>
      <c r="C3134" s="2" t="s">
        <v>1969</v>
      </c>
      <c r="D3134" s="2">
        <v>1</v>
      </c>
      <c r="E3134" s="2" t="str">
        <f>"2170758598"</f>
        <v>2170758598</v>
      </c>
      <c r="F3134" s="2" t="s">
        <v>17</v>
      </c>
      <c r="G3134" s="2" t="s">
        <v>18</v>
      </c>
      <c r="H3134" s="2" t="s">
        <v>36</v>
      </c>
      <c r="I3134" s="2" t="s">
        <v>37</v>
      </c>
      <c r="J3134" s="2" t="s">
        <v>55</v>
      </c>
      <c r="K3134" s="2" t="s">
        <v>2138</v>
      </c>
      <c r="L3134" s="3">
        <v>0.42638888888888887</v>
      </c>
      <c r="M3134" s="2" t="s">
        <v>836</v>
      </c>
      <c r="N3134" s="2" t="s">
        <v>500</v>
      </c>
      <c r="O3134" s="2"/>
    </row>
    <row r="3135" spans="1:17" x14ac:dyDescent="0.25">
      <c r="A3135" s="2" t="s">
        <v>15</v>
      </c>
      <c r="B3135" s="2" t="str">
        <f>"FES1162771520"</f>
        <v>FES1162771520</v>
      </c>
      <c r="C3135" s="2" t="s">
        <v>1969</v>
      </c>
      <c r="D3135" s="2">
        <v>1</v>
      </c>
      <c r="E3135" s="2" t="str">
        <f>"2170757016"</f>
        <v>2170757016</v>
      </c>
      <c r="F3135" s="2" t="s">
        <v>205</v>
      </c>
      <c r="G3135" s="2" t="s">
        <v>206</v>
      </c>
      <c r="H3135" s="2" t="s">
        <v>36</v>
      </c>
      <c r="I3135" s="2" t="s">
        <v>134</v>
      </c>
      <c r="J3135" s="2" t="s">
        <v>283</v>
      </c>
      <c r="K3135" s="2" t="s">
        <v>2138</v>
      </c>
      <c r="L3135" s="3">
        <v>0.39583333333333331</v>
      </c>
      <c r="M3135" s="2" t="s">
        <v>2165</v>
      </c>
      <c r="N3135" s="2" t="s">
        <v>500</v>
      </c>
      <c r="O3135" s="2"/>
    </row>
    <row r="3136" spans="1:17" x14ac:dyDescent="0.25">
      <c r="A3136" s="2" t="s">
        <v>15</v>
      </c>
      <c r="B3136" s="2" t="str">
        <f>"FES1162771522"</f>
        <v>FES1162771522</v>
      </c>
      <c r="C3136" s="2" t="s">
        <v>1969</v>
      </c>
      <c r="D3136" s="2">
        <v>1</v>
      </c>
      <c r="E3136" s="2" t="str">
        <f>"2170757276"</f>
        <v>2170757276</v>
      </c>
      <c r="F3136" s="2" t="s">
        <v>17</v>
      </c>
      <c r="G3136" s="2" t="s">
        <v>18</v>
      </c>
      <c r="H3136" s="2" t="s">
        <v>88</v>
      </c>
      <c r="I3136" s="2" t="s">
        <v>109</v>
      </c>
      <c r="J3136" s="2" t="s">
        <v>2142</v>
      </c>
      <c r="K3136" s="2" t="s">
        <v>2138</v>
      </c>
      <c r="L3136" s="3">
        <v>0.3923611111111111</v>
      </c>
      <c r="M3136" s="2" t="s">
        <v>965</v>
      </c>
      <c r="N3136" s="2" t="s">
        <v>500</v>
      </c>
      <c r="O3136" s="2"/>
    </row>
    <row r="3137" spans="1:15" x14ac:dyDescent="0.25">
      <c r="A3137" s="2" t="s">
        <v>15</v>
      </c>
      <c r="B3137" s="2" t="str">
        <f>"FES1162771543"</f>
        <v>FES1162771543</v>
      </c>
      <c r="C3137" s="2" t="s">
        <v>1969</v>
      </c>
      <c r="D3137" s="2">
        <v>1</v>
      </c>
      <c r="E3137" s="2" t="str">
        <f>"2170758576"</f>
        <v>2170758576</v>
      </c>
      <c r="F3137" s="2" t="s">
        <v>205</v>
      </c>
      <c r="G3137" s="2" t="s">
        <v>206</v>
      </c>
      <c r="H3137" s="2" t="s">
        <v>19</v>
      </c>
      <c r="I3137" s="2" t="s">
        <v>130</v>
      </c>
      <c r="J3137" s="2" t="s">
        <v>131</v>
      </c>
      <c r="K3137" s="2" t="s">
        <v>2138</v>
      </c>
      <c r="L3137" s="3">
        <v>0.40069444444444446</v>
      </c>
      <c r="M3137" s="2" t="s">
        <v>2166</v>
      </c>
      <c r="N3137" s="2" t="s">
        <v>500</v>
      </c>
      <c r="O3137" s="2"/>
    </row>
    <row r="3138" spans="1:15" x14ac:dyDescent="0.25">
      <c r="A3138" s="2" t="s">
        <v>15</v>
      </c>
      <c r="B3138" s="2" t="str">
        <f>"FES1162771556"</f>
        <v>FES1162771556</v>
      </c>
      <c r="C3138" s="2" t="s">
        <v>1969</v>
      </c>
      <c r="D3138" s="2">
        <v>1</v>
      </c>
      <c r="E3138" s="2" t="str">
        <f>"2170758578"</f>
        <v>2170758578</v>
      </c>
      <c r="F3138" s="2" t="s">
        <v>17</v>
      </c>
      <c r="G3138" s="2" t="s">
        <v>18</v>
      </c>
      <c r="H3138" s="2" t="s">
        <v>18</v>
      </c>
      <c r="I3138" s="2" t="s">
        <v>163</v>
      </c>
      <c r="J3138" s="2" t="s">
        <v>2143</v>
      </c>
      <c r="K3138" s="2" t="s">
        <v>2138</v>
      </c>
      <c r="L3138" s="3">
        <v>0.3611111111111111</v>
      </c>
      <c r="M3138" s="2" t="s">
        <v>548</v>
      </c>
      <c r="N3138" s="2" t="s">
        <v>500</v>
      </c>
      <c r="O3138" s="2"/>
    </row>
    <row r="3139" spans="1:15" x14ac:dyDescent="0.25">
      <c r="A3139" s="2" t="s">
        <v>15</v>
      </c>
      <c r="B3139" s="2" t="str">
        <f>"FES1162771568"</f>
        <v>FES1162771568</v>
      </c>
      <c r="C3139" s="2" t="s">
        <v>1969</v>
      </c>
      <c r="D3139" s="2">
        <v>1</v>
      </c>
      <c r="E3139" s="2" t="str">
        <f>"2170758617"</f>
        <v>2170758617</v>
      </c>
      <c r="F3139" s="2" t="s">
        <v>17</v>
      </c>
      <c r="G3139" s="2" t="s">
        <v>18</v>
      </c>
      <c r="H3139" s="2" t="s">
        <v>484</v>
      </c>
      <c r="I3139" s="2" t="s">
        <v>485</v>
      </c>
      <c r="J3139" s="2" t="s">
        <v>1289</v>
      </c>
      <c r="K3139" s="2" t="s">
        <v>2138</v>
      </c>
      <c r="L3139" s="3">
        <v>0.3833333333333333</v>
      </c>
      <c r="M3139" s="2" t="s">
        <v>2167</v>
      </c>
      <c r="N3139" s="2" t="s">
        <v>500</v>
      </c>
      <c r="O3139" s="2"/>
    </row>
    <row r="3140" spans="1:15" x14ac:dyDescent="0.25">
      <c r="A3140" s="2" t="s">
        <v>15</v>
      </c>
      <c r="B3140" s="2" t="str">
        <f>"FES1162771542"</f>
        <v>FES1162771542</v>
      </c>
      <c r="C3140" s="2" t="s">
        <v>1969</v>
      </c>
      <c r="D3140" s="2">
        <v>1</v>
      </c>
      <c r="E3140" s="2" t="str">
        <f>"2170758575"</f>
        <v>2170758575</v>
      </c>
      <c r="F3140" s="2" t="s">
        <v>17</v>
      </c>
      <c r="G3140" s="2" t="s">
        <v>18</v>
      </c>
      <c r="H3140" s="2" t="s">
        <v>25</v>
      </c>
      <c r="I3140" s="2" t="s">
        <v>125</v>
      </c>
      <c r="J3140" s="2" t="s">
        <v>126</v>
      </c>
      <c r="K3140" s="2" t="s">
        <v>2138</v>
      </c>
      <c r="L3140" s="3">
        <v>0.41875000000000001</v>
      </c>
      <c r="M3140" s="2" t="s">
        <v>235</v>
      </c>
      <c r="N3140" s="2" t="s">
        <v>500</v>
      </c>
      <c r="O3140" s="2"/>
    </row>
    <row r="3141" spans="1:15" x14ac:dyDescent="0.25">
      <c r="A3141" s="2" t="s">
        <v>15</v>
      </c>
      <c r="B3141" s="2" t="str">
        <f>"FES1162771524"</f>
        <v>FES1162771524</v>
      </c>
      <c r="C3141" s="2" t="s">
        <v>1969</v>
      </c>
      <c r="D3141" s="2">
        <v>1</v>
      </c>
      <c r="E3141" s="2" t="str">
        <f>"2170758072"</f>
        <v>2170758072</v>
      </c>
      <c r="F3141" s="2" t="s">
        <v>17</v>
      </c>
      <c r="G3141" s="2" t="s">
        <v>18</v>
      </c>
      <c r="H3141" s="2" t="s">
        <v>25</v>
      </c>
      <c r="I3141" s="2" t="s">
        <v>361</v>
      </c>
      <c r="J3141" s="2" t="s">
        <v>280</v>
      </c>
      <c r="K3141" s="2" t="s">
        <v>2138</v>
      </c>
      <c r="L3141" s="3">
        <v>0.41666666666666669</v>
      </c>
      <c r="M3141" s="2" t="s">
        <v>2168</v>
      </c>
      <c r="N3141" s="2" t="s">
        <v>500</v>
      </c>
      <c r="O3141" s="2"/>
    </row>
    <row r="3142" spans="1:15" x14ac:dyDescent="0.25">
      <c r="A3142" s="2" t="s">
        <v>15</v>
      </c>
      <c r="B3142" s="2" t="str">
        <f>"FES1162771559"</f>
        <v>FES1162771559</v>
      </c>
      <c r="C3142" s="2" t="s">
        <v>1969</v>
      </c>
      <c r="D3142" s="2">
        <v>1</v>
      </c>
      <c r="E3142" s="2" t="str">
        <f>"2170758606"</f>
        <v>2170758606</v>
      </c>
      <c r="F3142" s="2" t="s">
        <v>17</v>
      </c>
      <c r="G3142" s="2" t="s">
        <v>18</v>
      </c>
      <c r="H3142" s="2" t="s">
        <v>25</v>
      </c>
      <c r="I3142" s="2" t="s">
        <v>345</v>
      </c>
      <c r="J3142" s="2" t="s">
        <v>346</v>
      </c>
      <c r="K3142" s="2" t="s">
        <v>2197</v>
      </c>
      <c r="L3142" s="3">
        <v>0.34722222222222227</v>
      </c>
      <c r="M3142" s="2" t="s">
        <v>2240</v>
      </c>
      <c r="N3142" s="2" t="s">
        <v>500</v>
      </c>
      <c r="O3142" s="2"/>
    </row>
    <row r="3143" spans="1:15" x14ac:dyDescent="0.25">
      <c r="A3143" s="2" t="s">
        <v>15</v>
      </c>
      <c r="B3143" s="2" t="str">
        <f>"FES1162771038"</f>
        <v>FES1162771038</v>
      </c>
      <c r="C3143" s="2" t="s">
        <v>1969</v>
      </c>
      <c r="D3143" s="2">
        <v>1</v>
      </c>
      <c r="E3143" s="2" t="str">
        <f>"2170758199"</f>
        <v>2170758199</v>
      </c>
      <c r="F3143" s="2" t="s">
        <v>17</v>
      </c>
      <c r="G3143" s="2" t="s">
        <v>18</v>
      </c>
      <c r="H3143" s="2" t="s">
        <v>19</v>
      </c>
      <c r="I3143" s="2" t="s">
        <v>114</v>
      </c>
      <c r="J3143" s="2" t="s">
        <v>66</v>
      </c>
      <c r="K3143" s="2" t="s">
        <v>2138</v>
      </c>
      <c r="L3143" s="3">
        <v>0.4375</v>
      </c>
      <c r="M3143" s="2" t="s">
        <v>2169</v>
      </c>
      <c r="N3143" s="2" t="s">
        <v>500</v>
      </c>
      <c r="O3143" s="2"/>
    </row>
    <row r="3144" spans="1:15" x14ac:dyDescent="0.25">
      <c r="A3144" s="2" t="s">
        <v>15</v>
      </c>
      <c r="B3144" s="2" t="str">
        <f>"FES1162771526"</f>
        <v>FES1162771526</v>
      </c>
      <c r="C3144" s="2" t="s">
        <v>1969</v>
      </c>
      <c r="D3144" s="2">
        <v>1</v>
      </c>
      <c r="E3144" s="2" t="str">
        <f>"2170758191"</f>
        <v>2170758191</v>
      </c>
      <c r="F3144" s="2" t="s">
        <v>17</v>
      </c>
      <c r="G3144" s="2" t="s">
        <v>18</v>
      </c>
      <c r="H3144" s="2" t="s">
        <v>36</v>
      </c>
      <c r="I3144" s="2" t="s">
        <v>67</v>
      </c>
      <c r="J3144" s="2" t="s">
        <v>145</v>
      </c>
      <c r="K3144" s="2" t="s">
        <v>2138</v>
      </c>
      <c r="L3144" s="3">
        <v>0.3923611111111111</v>
      </c>
      <c r="M3144" s="2" t="s">
        <v>311</v>
      </c>
      <c r="N3144" s="2" t="s">
        <v>500</v>
      </c>
      <c r="O3144" s="2"/>
    </row>
    <row r="3145" spans="1:15" x14ac:dyDescent="0.25">
      <c r="A3145" s="2" t="s">
        <v>15</v>
      </c>
      <c r="B3145" s="2" t="str">
        <f>"FES1162771515"</f>
        <v>FES1162771515</v>
      </c>
      <c r="C3145" s="2" t="s">
        <v>1969</v>
      </c>
      <c r="D3145" s="2">
        <v>1</v>
      </c>
      <c r="E3145" s="2" t="str">
        <f>"2170755759"</f>
        <v>2170755759</v>
      </c>
      <c r="F3145" s="2" t="s">
        <v>17</v>
      </c>
      <c r="G3145" s="2" t="s">
        <v>18</v>
      </c>
      <c r="H3145" s="2" t="s">
        <v>36</v>
      </c>
      <c r="I3145" s="2" t="s">
        <v>37</v>
      </c>
      <c r="J3145" s="2" t="s">
        <v>403</v>
      </c>
      <c r="K3145" s="2" t="s">
        <v>2138</v>
      </c>
      <c r="L3145" s="3">
        <v>0.39583333333333331</v>
      </c>
      <c r="M3145" s="2" t="s">
        <v>350</v>
      </c>
      <c r="N3145" s="2" t="s">
        <v>500</v>
      </c>
      <c r="O3145" s="2"/>
    </row>
    <row r="3146" spans="1:15" x14ac:dyDescent="0.25">
      <c r="A3146" s="2" t="s">
        <v>15</v>
      </c>
      <c r="B3146" s="2" t="str">
        <f>"FES1162771574"</f>
        <v>FES1162771574</v>
      </c>
      <c r="C3146" s="2" t="s">
        <v>1969</v>
      </c>
      <c r="D3146" s="2">
        <v>1</v>
      </c>
      <c r="E3146" s="2" t="str">
        <f>"2170758620"</f>
        <v>2170758620</v>
      </c>
      <c r="F3146" s="2" t="s">
        <v>17</v>
      </c>
      <c r="G3146" s="2" t="s">
        <v>18</v>
      </c>
      <c r="H3146" s="2" t="s">
        <v>36</v>
      </c>
      <c r="I3146" s="2" t="s">
        <v>37</v>
      </c>
      <c r="J3146" s="2" t="s">
        <v>162</v>
      </c>
      <c r="K3146" s="2" t="s">
        <v>2138</v>
      </c>
      <c r="L3146" s="3">
        <v>0.3298611111111111</v>
      </c>
      <c r="M3146" s="2" t="s">
        <v>268</v>
      </c>
      <c r="N3146" s="2" t="s">
        <v>500</v>
      </c>
      <c r="O3146" s="2"/>
    </row>
    <row r="3147" spans="1:15" x14ac:dyDescent="0.25">
      <c r="A3147" s="2" t="s">
        <v>15</v>
      </c>
      <c r="B3147" s="2" t="str">
        <f>"FES1162771545"</f>
        <v>FES1162771545</v>
      </c>
      <c r="C3147" s="2" t="s">
        <v>1969</v>
      </c>
      <c r="D3147" s="2">
        <v>1</v>
      </c>
      <c r="E3147" s="2" t="str">
        <f>"2170758580"</f>
        <v>2170758580</v>
      </c>
      <c r="F3147" s="2" t="s">
        <v>17</v>
      </c>
      <c r="G3147" s="2" t="s">
        <v>18</v>
      </c>
      <c r="H3147" s="2" t="s">
        <v>25</v>
      </c>
      <c r="I3147" s="2" t="s">
        <v>125</v>
      </c>
      <c r="J3147" s="2" t="s">
        <v>126</v>
      </c>
      <c r="K3147" s="2" t="s">
        <v>2138</v>
      </c>
      <c r="L3147" s="3">
        <v>0.41875000000000001</v>
      </c>
      <c r="M3147" s="2" t="s">
        <v>235</v>
      </c>
      <c r="N3147" s="2" t="s">
        <v>500</v>
      </c>
      <c r="O3147" s="2"/>
    </row>
    <row r="3148" spans="1:15" x14ac:dyDescent="0.25">
      <c r="A3148" s="2" t="s">
        <v>15</v>
      </c>
      <c r="B3148" s="2" t="str">
        <f>"FES1162770639"</f>
        <v>FES1162770639</v>
      </c>
      <c r="C3148" s="2" t="s">
        <v>1969</v>
      </c>
      <c r="D3148" s="2">
        <v>1</v>
      </c>
      <c r="E3148" s="2" t="str">
        <f>"2170756777"</f>
        <v>2170756777</v>
      </c>
      <c r="F3148" s="2" t="s">
        <v>17</v>
      </c>
      <c r="G3148" s="2" t="s">
        <v>18</v>
      </c>
      <c r="H3148" s="2" t="s">
        <v>18</v>
      </c>
      <c r="I3148" s="2" t="s">
        <v>46</v>
      </c>
      <c r="J3148" s="2" t="s">
        <v>168</v>
      </c>
      <c r="K3148" s="2" t="s">
        <v>2138</v>
      </c>
      <c r="L3148" s="3">
        <v>0.4375</v>
      </c>
      <c r="M3148" s="2" t="s">
        <v>929</v>
      </c>
      <c r="N3148" s="2" t="s">
        <v>500</v>
      </c>
      <c r="O3148" s="2"/>
    </row>
    <row r="3149" spans="1:15" x14ac:dyDescent="0.25">
      <c r="A3149" s="2" t="s">
        <v>15</v>
      </c>
      <c r="B3149" s="2" t="str">
        <f>"FES1162771578"</f>
        <v>FES1162771578</v>
      </c>
      <c r="C3149" s="2" t="s">
        <v>1969</v>
      </c>
      <c r="D3149" s="2">
        <v>1</v>
      </c>
      <c r="E3149" s="2" t="str">
        <f>"2170758624"</f>
        <v>2170758624</v>
      </c>
      <c r="F3149" s="2" t="s">
        <v>17</v>
      </c>
      <c r="G3149" s="2" t="s">
        <v>18</v>
      </c>
      <c r="H3149" s="2" t="s">
        <v>19</v>
      </c>
      <c r="I3149" s="2" t="s">
        <v>111</v>
      </c>
      <c r="J3149" s="2" t="s">
        <v>662</v>
      </c>
      <c r="K3149" s="2" t="s">
        <v>2138</v>
      </c>
      <c r="L3149" s="3">
        <v>0.52916666666666667</v>
      </c>
      <c r="M3149" s="2" t="s">
        <v>738</v>
      </c>
      <c r="N3149" s="2" t="s">
        <v>500</v>
      </c>
      <c r="O3149" s="2"/>
    </row>
    <row r="3150" spans="1:15" x14ac:dyDescent="0.25">
      <c r="A3150" s="2" t="s">
        <v>15</v>
      </c>
      <c r="B3150" s="2" t="str">
        <f>"FES1162771445"</f>
        <v>FES1162771445</v>
      </c>
      <c r="C3150" s="2" t="s">
        <v>1969</v>
      </c>
      <c r="D3150" s="2">
        <v>1</v>
      </c>
      <c r="E3150" s="2" t="str">
        <f>"2170758482"</f>
        <v>2170758482</v>
      </c>
      <c r="F3150" s="2" t="s">
        <v>17</v>
      </c>
      <c r="G3150" s="2" t="s">
        <v>18</v>
      </c>
      <c r="H3150" s="2" t="s">
        <v>36</v>
      </c>
      <c r="I3150" s="2" t="s">
        <v>37</v>
      </c>
      <c r="J3150" s="2" t="s">
        <v>1421</v>
      </c>
      <c r="K3150" s="2" t="s">
        <v>2138</v>
      </c>
      <c r="L3150" s="3">
        <v>0.39861111111111108</v>
      </c>
      <c r="M3150" s="2" t="s">
        <v>2170</v>
      </c>
      <c r="N3150" s="2" t="s">
        <v>500</v>
      </c>
      <c r="O3150" s="2"/>
    </row>
    <row r="3151" spans="1:15" x14ac:dyDescent="0.25">
      <c r="A3151" s="2" t="s">
        <v>15</v>
      </c>
      <c r="B3151" s="2" t="str">
        <f>"FES1162771205"</f>
        <v>FES1162771205</v>
      </c>
      <c r="C3151" s="2" t="s">
        <v>1969</v>
      </c>
      <c r="D3151" s="2">
        <v>1</v>
      </c>
      <c r="E3151" s="2" t="str">
        <f>"2170758254"</f>
        <v>2170758254</v>
      </c>
      <c r="F3151" s="2" t="s">
        <v>17</v>
      </c>
      <c r="G3151" s="2" t="s">
        <v>18</v>
      </c>
      <c r="H3151" s="2" t="s">
        <v>19</v>
      </c>
      <c r="I3151" s="2" t="s">
        <v>114</v>
      </c>
      <c r="J3151" s="2" t="s">
        <v>66</v>
      </c>
      <c r="K3151" s="2" t="s">
        <v>2138</v>
      </c>
      <c r="L3151" s="3">
        <v>0.4375</v>
      </c>
      <c r="M3151" s="2" t="s">
        <v>2169</v>
      </c>
      <c r="N3151" s="2" t="s">
        <v>500</v>
      </c>
      <c r="O3151" s="2"/>
    </row>
    <row r="3152" spans="1:15" x14ac:dyDescent="0.25">
      <c r="A3152" s="2" t="s">
        <v>15</v>
      </c>
      <c r="B3152" s="2" t="str">
        <f>"FES1162771525"</f>
        <v>FES1162771525</v>
      </c>
      <c r="C3152" s="2" t="s">
        <v>1969</v>
      </c>
      <c r="D3152" s="2">
        <v>1</v>
      </c>
      <c r="E3152" s="2" t="str">
        <f>"21707558133"</f>
        <v>21707558133</v>
      </c>
      <c r="F3152" s="2" t="s">
        <v>17</v>
      </c>
      <c r="G3152" s="2" t="s">
        <v>18</v>
      </c>
      <c r="H3152" s="2" t="s">
        <v>36</v>
      </c>
      <c r="I3152" s="2" t="s">
        <v>37</v>
      </c>
      <c r="J3152" s="2" t="s">
        <v>869</v>
      </c>
      <c r="K3152" s="2" t="s">
        <v>2138</v>
      </c>
      <c r="L3152" s="3">
        <v>0.36527777777777781</v>
      </c>
      <c r="M3152" s="2" t="s">
        <v>2171</v>
      </c>
      <c r="N3152" s="2" t="s">
        <v>500</v>
      </c>
      <c r="O3152" s="2"/>
    </row>
    <row r="3153" spans="1:15" x14ac:dyDescent="0.25">
      <c r="A3153" s="2" t="s">
        <v>15</v>
      </c>
      <c r="B3153" s="2" t="str">
        <f>"FES1162771549"</f>
        <v>FES1162771549</v>
      </c>
      <c r="C3153" s="2" t="s">
        <v>1969</v>
      </c>
      <c r="D3153" s="2">
        <v>1</v>
      </c>
      <c r="E3153" s="2" t="str">
        <f>"2170758591"</f>
        <v>2170758591</v>
      </c>
      <c r="F3153" s="2" t="s">
        <v>17</v>
      </c>
      <c r="G3153" s="2" t="s">
        <v>18</v>
      </c>
      <c r="H3153" s="2" t="s">
        <v>19</v>
      </c>
      <c r="I3153" s="2" t="s">
        <v>111</v>
      </c>
      <c r="J3153" s="2" t="s">
        <v>112</v>
      </c>
      <c r="K3153" s="2" t="s">
        <v>2138</v>
      </c>
      <c r="L3153" s="3">
        <v>0.45555555555555555</v>
      </c>
      <c r="M3153" s="2" t="s">
        <v>225</v>
      </c>
      <c r="N3153" s="2" t="s">
        <v>500</v>
      </c>
      <c r="O3153" s="2"/>
    </row>
    <row r="3154" spans="1:15" x14ac:dyDescent="0.25">
      <c r="A3154" s="2" t="s">
        <v>15</v>
      </c>
      <c r="B3154" s="2" t="str">
        <f>"FES1162771534"</f>
        <v>FES1162771534</v>
      </c>
      <c r="C3154" s="2" t="s">
        <v>1969</v>
      </c>
      <c r="D3154" s="2">
        <v>1</v>
      </c>
      <c r="E3154" s="2" t="str">
        <f>"2170758566"</f>
        <v>2170758566</v>
      </c>
      <c r="F3154" s="2" t="s">
        <v>17</v>
      </c>
      <c r="G3154" s="2" t="s">
        <v>18</v>
      </c>
      <c r="H3154" s="2" t="s">
        <v>19</v>
      </c>
      <c r="I3154" s="2" t="s">
        <v>111</v>
      </c>
      <c r="J3154" s="2" t="s">
        <v>1014</v>
      </c>
      <c r="K3154" s="2" t="s">
        <v>2138</v>
      </c>
      <c r="L3154" s="3">
        <v>0.37777777777777777</v>
      </c>
      <c r="M3154" s="2" t="s">
        <v>1059</v>
      </c>
      <c r="N3154" s="2" t="s">
        <v>500</v>
      </c>
      <c r="O3154" s="2"/>
    </row>
    <row r="3155" spans="1:15" x14ac:dyDescent="0.25">
      <c r="A3155" s="2" t="s">
        <v>15</v>
      </c>
      <c r="B3155" s="2" t="str">
        <f>"FES1162771541"</f>
        <v>FES1162771541</v>
      </c>
      <c r="C3155" s="2" t="s">
        <v>1969</v>
      </c>
      <c r="D3155" s="2">
        <v>1</v>
      </c>
      <c r="E3155" s="2" t="str">
        <f>"2170758574"</f>
        <v>2170758574</v>
      </c>
      <c r="F3155" s="2" t="s">
        <v>17</v>
      </c>
      <c r="G3155" s="2" t="s">
        <v>18</v>
      </c>
      <c r="H3155" s="2" t="s">
        <v>18</v>
      </c>
      <c r="I3155" s="2" t="s">
        <v>63</v>
      </c>
      <c r="J3155" s="2" t="s">
        <v>93</v>
      </c>
      <c r="K3155" s="2" t="s">
        <v>2138</v>
      </c>
      <c r="L3155" s="3">
        <v>0.40208333333333335</v>
      </c>
      <c r="M3155" s="2" t="s">
        <v>210</v>
      </c>
      <c r="N3155" s="2" t="s">
        <v>500</v>
      </c>
      <c r="O3155" s="2"/>
    </row>
    <row r="3156" spans="1:15" x14ac:dyDescent="0.25">
      <c r="A3156" s="2" t="s">
        <v>15</v>
      </c>
      <c r="B3156" s="2" t="str">
        <f>"FES1162771535"</f>
        <v>FES1162771535</v>
      </c>
      <c r="C3156" s="2" t="s">
        <v>1969</v>
      </c>
      <c r="D3156" s="2">
        <v>1</v>
      </c>
      <c r="E3156" s="2" t="str">
        <f>"2170758567"</f>
        <v>2170758567</v>
      </c>
      <c r="F3156" s="2" t="s">
        <v>17</v>
      </c>
      <c r="G3156" s="2" t="s">
        <v>18</v>
      </c>
      <c r="H3156" s="2" t="s">
        <v>18</v>
      </c>
      <c r="I3156" s="2" t="s">
        <v>46</v>
      </c>
      <c r="J3156" s="2" t="s">
        <v>139</v>
      </c>
      <c r="K3156" s="2" t="s">
        <v>2138</v>
      </c>
      <c r="L3156" s="3">
        <v>0.29166666666666669</v>
      </c>
      <c r="M3156" s="2" t="s">
        <v>2172</v>
      </c>
      <c r="N3156" s="2" t="s">
        <v>500</v>
      </c>
      <c r="O3156" s="2"/>
    </row>
    <row r="3157" spans="1:15" x14ac:dyDescent="0.25">
      <c r="A3157" s="2" t="s">
        <v>15</v>
      </c>
      <c r="B3157" s="2" t="str">
        <f>"FES1162771521"</f>
        <v>FES1162771521</v>
      </c>
      <c r="C3157" s="2" t="s">
        <v>1969</v>
      </c>
      <c r="D3157" s="2">
        <v>1</v>
      </c>
      <c r="E3157" s="2" t="str">
        <f>"2170757274"</f>
        <v>2170757274</v>
      </c>
      <c r="F3157" s="2" t="s">
        <v>17</v>
      </c>
      <c r="G3157" s="2" t="s">
        <v>18</v>
      </c>
      <c r="H3157" s="2" t="s">
        <v>88</v>
      </c>
      <c r="I3157" s="2" t="s">
        <v>109</v>
      </c>
      <c r="J3157" s="2" t="s">
        <v>2144</v>
      </c>
      <c r="K3157" s="2" t="s">
        <v>2138</v>
      </c>
      <c r="L3157" s="3">
        <v>0.4236111111111111</v>
      </c>
      <c r="M3157" s="2" t="s">
        <v>2173</v>
      </c>
      <c r="N3157" s="2" t="s">
        <v>500</v>
      </c>
      <c r="O3157" s="2"/>
    </row>
    <row r="3158" spans="1:15" x14ac:dyDescent="0.25">
      <c r="A3158" s="2" t="s">
        <v>15</v>
      </c>
      <c r="B3158" s="2" t="str">
        <f>"FES1162771552"</f>
        <v>FES1162771552</v>
      </c>
      <c r="C3158" s="2" t="s">
        <v>1969</v>
      </c>
      <c r="D3158" s="2">
        <v>1</v>
      </c>
      <c r="E3158" s="2" t="str">
        <f>"2170758586"</f>
        <v>2170758586</v>
      </c>
      <c r="F3158" s="2" t="s">
        <v>17</v>
      </c>
      <c r="G3158" s="2" t="s">
        <v>18</v>
      </c>
      <c r="H3158" s="2" t="s">
        <v>18</v>
      </c>
      <c r="I3158" s="2" t="s">
        <v>157</v>
      </c>
      <c r="J3158" s="2" t="s">
        <v>347</v>
      </c>
      <c r="K3158" s="2" t="s">
        <v>2138</v>
      </c>
      <c r="L3158" s="3">
        <v>0.40972222222222227</v>
      </c>
      <c r="M3158" s="2" t="s">
        <v>1351</v>
      </c>
      <c r="N3158" s="2" t="s">
        <v>500</v>
      </c>
      <c r="O3158" s="2"/>
    </row>
    <row r="3159" spans="1:15" x14ac:dyDescent="0.25">
      <c r="A3159" s="2" t="s">
        <v>15</v>
      </c>
      <c r="B3159" s="2" t="str">
        <f>"FES1162771533"</f>
        <v>FES1162771533</v>
      </c>
      <c r="C3159" s="2" t="s">
        <v>1969</v>
      </c>
      <c r="D3159" s="2">
        <v>1</v>
      </c>
      <c r="E3159" s="2" t="str">
        <f>"2170758565"</f>
        <v>2170758565</v>
      </c>
      <c r="F3159" s="2" t="s">
        <v>17</v>
      </c>
      <c r="G3159" s="2" t="s">
        <v>18</v>
      </c>
      <c r="H3159" s="2" t="s">
        <v>18</v>
      </c>
      <c r="I3159" s="2" t="s">
        <v>63</v>
      </c>
      <c r="J3159" s="2" t="s">
        <v>421</v>
      </c>
      <c r="K3159" s="2" t="s">
        <v>2138</v>
      </c>
      <c r="L3159" s="3">
        <v>0.35069444444444442</v>
      </c>
      <c r="M3159" s="2" t="s">
        <v>358</v>
      </c>
      <c r="N3159" s="2" t="s">
        <v>500</v>
      </c>
      <c r="O3159" s="2"/>
    </row>
    <row r="3160" spans="1:15" x14ac:dyDescent="0.25">
      <c r="A3160" s="2" t="s">
        <v>15</v>
      </c>
      <c r="B3160" s="2" t="str">
        <f>"FES1162771532"</f>
        <v>FES1162771532</v>
      </c>
      <c r="C3160" s="2" t="s">
        <v>1969</v>
      </c>
      <c r="D3160" s="2">
        <v>1</v>
      </c>
      <c r="E3160" s="2" t="str">
        <f>"2170758564"</f>
        <v>2170758564</v>
      </c>
      <c r="F3160" s="2" t="s">
        <v>17</v>
      </c>
      <c r="G3160" s="2" t="s">
        <v>18</v>
      </c>
      <c r="H3160" s="2" t="s">
        <v>18</v>
      </c>
      <c r="I3160" s="2" t="s">
        <v>46</v>
      </c>
      <c r="J3160" s="2" t="s">
        <v>2145</v>
      </c>
      <c r="K3160" s="2" t="s">
        <v>2138</v>
      </c>
      <c r="L3160" s="3">
        <v>0.3263888888888889</v>
      </c>
      <c r="M3160" s="2" t="s">
        <v>2174</v>
      </c>
      <c r="N3160" s="2" t="s">
        <v>500</v>
      </c>
      <c r="O3160" s="2"/>
    </row>
    <row r="3161" spans="1:15" x14ac:dyDescent="0.25">
      <c r="A3161" s="2" t="s">
        <v>15</v>
      </c>
      <c r="B3161" s="2" t="str">
        <f>"FES1162771546"</f>
        <v>FES1162771546</v>
      </c>
      <c r="C3161" s="2" t="s">
        <v>1969</v>
      </c>
      <c r="D3161" s="2">
        <v>1</v>
      </c>
      <c r="E3161" s="2" t="str">
        <f>"2170758582"</f>
        <v>2170758582</v>
      </c>
      <c r="F3161" s="2" t="s">
        <v>17</v>
      </c>
      <c r="G3161" s="2" t="s">
        <v>18</v>
      </c>
      <c r="H3161" s="2" t="s">
        <v>78</v>
      </c>
      <c r="I3161" s="2" t="s">
        <v>79</v>
      </c>
      <c r="J3161" s="2" t="s">
        <v>630</v>
      </c>
      <c r="K3161" s="2" t="s">
        <v>2138</v>
      </c>
      <c r="L3161" s="3">
        <v>0.56944444444444442</v>
      </c>
      <c r="M3161" s="2" t="s">
        <v>748</v>
      </c>
      <c r="N3161" s="2" t="s">
        <v>500</v>
      </c>
      <c r="O3161" s="2"/>
    </row>
    <row r="3162" spans="1:15" x14ac:dyDescent="0.25">
      <c r="A3162" s="2" t="s">
        <v>15</v>
      </c>
      <c r="B3162" s="2" t="str">
        <f>"FES1162771537"</f>
        <v>FES1162771537</v>
      </c>
      <c r="C3162" s="2" t="s">
        <v>1969</v>
      </c>
      <c r="D3162" s="2">
        <v>1</v>
      </c>
      <c r="E3162" s="2" t="str">
        <f>"2170758569"</f>
        <v>2170758569</v>
      </c>
      <c r="F3162" s="2" t="s">
        <v>17</v>
      </c>
      <c r="G3162" s="2" t="s">
        <v>18</v>
      </c>
      <c r="H3162" s="2" t="s">
        <v>19</v>
      </c>
      <c r="I3162" s="2" t="s">
        <v>20</v>
      </c>
      <c r="J3162" s="2" t="s">
        <v>767</v>
      </c>
      <c r="K3162" s="2" t="s">
        <v>2138</v>
      </c>
      <c r="L3162" s="3">
        <v>0.34097222222222223</v>
      </c>
      <c r="M3162" s="2" t="s">
        <v>1273</v>
      </c>
      <c r="N3162" s="2" t="s">
        <v>500</v>
      </c>
      <c r="O3162" s="2"/>
    </row>
    <row r="3163" spans="1:15" x14ac:dyDescent="0.25">
      <c r="A3163" s="2" t="s">
        <v>15</v>
      </c>
      <c r="B3163" s="2" t="str">
        <f>"FES1162771514"</f>
        <v>FES1162771514</v>
      </c>
      <c r="C3163" s="2" t="s">
        <v>1969</v>
      </c>
      <c r="D3163" s="2">
        <v>1</v>
      </c>
      <c r="E3163" s="2" t="str">
        <f>"2170755001"</f>
        <v>2170755001</v>
      </c>
      <c r="F3163" s="2" t="s">
        <v>17</v>
      </c>
      <c r="G3163" s="2" t="s">
        <v>18</v>
      </c>
      <c r="H3163" s="2" t="s">
        <v>18</v>
      </c>
      <c r="I3163" s="2" t="s">
        <v>63</v>
      </c>
      <c r="J3163" s="2" t="s">
        <v>53</v>
      </c>
      <c r="K3163" s="2" t="s">
        <v>2138</v>
      </c>
      <c r="L3163" s="3">
        <v>0.35138888888888892</v>
      </c>
      <c r="M3163" s="2" t="s">
        <v>2175</v>
      </c>
      <c r="N3163" s="2" t="s">
        <v>500</v>
      </c>
      <c r="O3163" s="2"/>
    </row>
    <row r="3164" spans="1:15" x14ac:dyDescent="0.25">
      <c r="A3164" s="2" t="s">
        <v>15</v>
      </c>
      <c r="B3164" s="2" t="str">
        <f>"FES1162771538"</f>
        <v>FES1162771538</v>
      </c>
      <c r="C3164" s="2" t="s">
        <v>1969</v>
      </c>
      <c r="D3164" s="2">
        <v>1</v>
      </c>
      <c r="E3164" s="2" t="str">
        <f>"2170758570"</f>
        <v>2170758570</v>
      </c>
      <c r="F3164" s="2" t="s">
        <v>17</v>
      </c>
      <c r="G3164" s="2" t="s">
        <v>18</v>
      </c>
      <c r="H3164" s="2" t="s">
        <v>19</v>
      </c>
      <c r="I3164" s="2" t="s">
        <v>111</v>
      </c>
      <c r="J3164" s="2" t="s">
        <v>662</v>
      </c>
      <c r="K3164" s="2" t="s">
        <v>2138</v>
      </c>
      <c r="L3164" s="3">
        <v>0.45</v>
      </c>
      <c r="M3164" s="2" t="s">
        <v>738</v>
      </c>
      <c r="N3164" s="2" t="s">
        <v>500</v>
      </c>
      <c r="O3164" s="2"/>
    </row>
    <row r="3165" spans="1:15" x14ac:dyDescent="0.25">
      <c r="A3165" s="2" t="s">
        <v>15</v>
      </c>
      <c r="B3165" s="2" t="str">
        <f>"FES1162771517"</f>
        <v>FES1162771517</v>
      </c>
      <c r="C3165" s="2" t="s">
        <v>1969</v>
      </c>
      <c r="D3165" s="2">
        <v>1</v>
      </c>
      <c r="E3165" s="2" t="str">
        <f>"2170756568"</f>
        <v>2170756568</v>
      </c>
      <c r="F3165" s="2" t="s">
        <v>17</v>
      </c>
      <c r="G3165" s="2" t="s">
        <v>18</v>
      </c>
      <c r="H3165" s="2" t="s">
        <v>18</v>
      </c>
      <c r="I3165" s="2" t="s">
        <v>46</v>
      </c>
      <c r="J3165" s="2" t="s">
        <v>915</v>
      </c>
      <c r="K3165" s="2" t="s">
        <v>2138</v>
      </c>
      <c r="L3165" s="3">
        <v>0.32569444444444445</v>
      </c>
      <c r="M3165" s="2" t="s">
        <v>1219</v>
      </c>
      <c r="N3165" s="2" t="s">
        <v>500</v>
      </c>
      <c r="O3165" s="2"/>
    </row>
    <row r="3166" spans="1:15" x14ac:dyDescent="0.25">
      <c r="A3166" s="2" t="s">
        <v>15</v>
      </c>
      <c r="B3166" s="2" t="str">
        <f>"FES1162770749"</f>
        <v>FES1162770749</v>
      </c>
      <c r="C3166" s="2" t="s">
        <v>1969</v>
      </c>
      <c r="D3166" s="2">
        <v>1</v>
      </c>
      <c r="E3166" s="2" t="str">
        <f>"2170756777"</f>
        <v>2170756777</v>
      </c>
      <c r="F3166" s="2" t="s">
        <v>17</v>
      </c>
      <c r="G3166" s="2" t="s">
        <v>18</v>
      </c>
      <c r="H3166" s="2" t="s">
        <v>18</v>
      </c>
      <c r="I3166" s="2" t="s">
        <v>46</v>
      </c>
      <c r="J3166" s="2" t="s">
        <v>168</v>
      </c>
      <c r="K3166" s="2" t="s">
        <v>2138</v>
      </c>
      <c r="L3166" s="3">
        <v>0.4375</v>
      </c>
      <c r="M3166" s="2" t="s">
        <v>929</v>
      </c>
      <c r="N3166" s="2" t="s">
        <v>500</v>
      </c>
      <c r="O3166" s="2"/>
    </row>
    <row r="3167" spans="1:15" x14ac:dyDescent="0.25">
      <c r="A3167" s="2" t="s">
        <v>15</v>
      </c>
      <c r="B3167" s="2" t="str">
        <f>"FES1162771554"</f>
        <v>FES1162771554</v>
      </c>
      <c r="C3167" s="2" t="s">
        <v>1969</v>
      </c>
      <c r="D3167" s="2">
        <v>1</v>
      </c>
      <c r="E3167" s="2" t="str">
        <f>"2170757360"</f>
        <v>2170757360</v>
      </c>
      <c r="F3167" s="2" t="s">
        <v>17</v>
      </c>
      <c r="G3167" s="2" t="s">
        <v>18</v>
      </c>
      <c r="H3167" s="2" t="s">
        <v>18</v>
      </c>
      <c r="I3167" s="2" t="s">
        <v>163</v>
      </c>
      <c r="J3167" s="2" t="s">
        <v>2146</v>
      </c>
      <c r="K3167" s="2" t="s">
        <v>2138</v>
      </c>
      <c r="L3167" s="3">
        <v>0.43055555555555558</v>
      </c>
      <c r="M3167" s="2" t="s">
        <v>2176</v>
      </c>
      <c r="N3167" s="2" t="s">
        <v>500</v>
      </c>
      <c r="O3167" s="2"/>
    </row>
    <row r="3168" spans="1:15" x14ac:dyDescent="0.25">
      <c r="A3168" s="2" t="s">
        <v>15</v>
      </c>
      <c r="B3168" s="2" t="str">
        <f>"FES1162771584"</f>
        <v>FES1162771584</v>
      </c>
      <c r="C3168" s="2" t="s">
        <v>1969</v>
      </c>
      <c r="D3168" s="2">
        <v>1</v>
      </c>
      <c r="E3168" s="2" t="str">
        <f>"2170758626"</f>
        <v>2170758626</v>
      </c>
      <c r="F3168" s="2" t="s">
        <v>17</v>
      </c>
      <c r="G3168" s="2" t="s">
        <v>18</v>
      </c>
      <c r="H3168" s="2" t="s">
        <v>19</v>
      </c>
      <c r="I3168" s="2" t="s">
        <v>20</v>
      </c>
      <c r="J3168" s="2" t="s">
        <v>123</v>
      </c>
      <c r="K3168" s="2" t="s">
        <v>2138</v>
      </c>
      <c r="L3168" s="3">
        <v>0.48055555555555557</v>
      </c>
      <c r="M3168" s="2" t="s">
        <v>233</v>
      </c>
      <c r="N3168" s="2" t="s">
        <v>500</v>
      </c>
      <c r="O3168" s="2"/>
    </row>
    <row r="3169" spans="1:15" x14ac:dyDescent="0.25">
      <c r="A3169" s="2" t="s">
        <v>15</v>
      </c>
      <c r="B3169" s="2" t="str">
        <f>"FES1162771592"</f>
        <v>FES1162771592</v>
      </c>
      <c r="C3169" s="2" t="s">
        <v>1969</v>
      </c>
      <c r="D3169" s="2">
        <v>1</v>
      </c>
      <c r="E3169" s="2" t="str">
        <f>"2170758636"</f>
        <v>2170758636</v>
      </c>
      <c r="F3169" s="2" t="s">
        <v>17</v>
      </c>
      <c r="G3169" s="2" t="s">
        <v>18</v>
      </c>
      <c r="H3169" s="2" t="s">
        <v>19</v>
      </c>
      <c r="I3169" s="2" t="s">
        <v>114</v>
      </c>
      <c r="J3169" s="2" t="s">
        <v>66</v>
      </c>
      <c r="K3169" s="2" t="s">
        <v>2138</v>
      </c>
      <c r="L3169" s="3">
        <v>0.4375</v>
      </c>
      <c r="M3169" s="2" t="s">
        <v>2169</v>
      </c>
      <c r="N3169" s="2" t="s">
        <v>500</v>
      </c>
      <c r="O3169" s="2"/>
    </row>
    <row r="3170" spans="1:15" x14ac:dyDescent="0.25">
      <c r="A3170" s="2" t="s">
        <v>15</v>
      </c>
      <c r="B3170" s="2" t="str">
        <f>"FES1162771600"</f>
        <v>FES1162771600</v>
      </c>
      <c r="C3170" s="2" t="s">
        <v>1969</v>
      </c>
      <c r="D3170" s="2">
        <v>1</v>
      </c>
      <c r="E3170" s="2" t="str">
        <f>"2170758647"</f>
        <v>2170758647</v>
      </c>
      <c r="F3170" s="2" t="s">
        <v>17</v>
      </c>
      <c r="G3170" s="2" t="s">
        <v>18</v>
      </c>
      <c r="H3170" s="2" t="s">
        <v>18</v>
      </c>
      <c r="I3170" s="2" t="s">
        <v>57</v>
      </c>
      <c r="J3170" s="2" t="s">
        <v>903</v>
      </c>
      <c r="K3170" s="2" t="s">
        <v>2138</v>
      </c>
      <c r="L3170" s="3">
        <v>0.33333333333333331</v>
      </c>
      <c r="M3170" s="2" t="s">
        <v>1842</v>
      </c>
      <c r="N3170" s="2" t="s">
        <v>500</v>
      </c>
      <c r="O3170" s="2"/>
    </row>
    <row r="3171" spans="1:15" x14ac:dyDescent="0.25">
      <c r="A3171" s="2" t="s">
        <v>15</v>
      </c>
      <c r="B3171" s="2" t="str">
        <f>"FES1162771593"</f>
        <v>FES1162771593</v>
      </c>
      <c r="C3171" s="2" t="s">
        <v>1969</v>
      </c>
      <c r="D3171" s="2">
        <v>1</v>
      </c>
      <c r="E3171" s="2" t="str">
        <f>"2170758637"</f>
        <v>2170758637</v>
      </c>
      <c r="F3171" s="2" t="s">
        <v>17</v>
      </c>
      <c r="G3171" s="2" t="s">
        <v>18</v>
      </c>
      <c r="H3171" s="2" t="s">
        <v>33</v>
      </c>
      <c r="I3171" s="2" t="s">
        <v>34</v>
      </c>
      <c r="J3171" s="2" t="s">
        <v>400</v>
      </c>
      <c r="K3171" s="2" t="s">
        <v>2138</v>
      </c>
      <c r="L3171" s="3">
        <v>0.43333333333333335</v>
      </c>
      <c r="M3171" s="2" t="s">
        <v>400</v>
      </c>
      <c r="N3171" s="2" t="s">
        <v>500</v>
      </c>
      <c r="O3171" s="2"/>
    </row>
    <row r="3172" spans="1:15" x14ac:dyDescent="0.25">
      <c r="A3172" s="2" t="s">
        <v>15</v>
      </c>
      <c r="B3172" s="2" t="str">
        <f>"FES1162771588"</f>
        <v>FES1162771588</v>
      </c>
      <c r="C3172" s="2" t="s">
        <v>1969</v>
      </c>
      <c r="D3172" s="2">
        <v>1</v>
      </c>
      <c r="E3172" s="2" t="str">
        <f>"2170758631"</f>
        <v>2170758631</v>
      </c>
      <c r="F3172" s="2" t="s">
        <v>17</v>
      </c>
      <c r="G3172" s="2" t="s">
        <v>18</v>
      </c>
      <c r="H3172" s="2" t="s">
        <v>25</v>
      </c>
      <c r="I3172" s="2" t="s">
        <v>26</v>
      </c>
      <c r="J3172" s="2" t="s">
        <v>762</v>
      </c>
      <c r="K3172" s="2" t="s">
        <v>2138</v>
      </c>
      <c r="L3172" s="3">
        <v>0.39097222222222222</v>
      </c>
      <c r="M3172" s="2" t="s">
        <v>819</v>
      </c>
      <c r="N3172" s="2" t="s">
        <v>500</v>
      </c>
      <c r="O3172" s="2"/>
    </row>
    <row r="3173" spans="1:15" x14ac:dyDescent="0.25">
      <c r="A3173" s="2" t="s">
        <v>15</v>
      </c>
      <c r="B3173" s="2" t="str">
        <f>"FES1162771548"</f>
        <v>FES1162771548</v>
      </c>
      <c r="C3173" s="2" t="s">
        <v>1969</v>
      </c>
      <c r="D3173" s="2">
        <v>1</v>
      </c>
      <c r="E3173" s="2" t="str">
        <f>"2170758590"</f>
        <v>2170758590</v>
      </c>
      <c r="F3173" s="2" t="s">
        <v>17</v>
      </c>
      <c r="G3173" s="2" t="s">
        <v>18</v>
      </c>
      <c r="H3173" s="2" t="s">
        <v>25</v>
      </c>
      <c r="I3173" s="2" t="s">
        <v>345</v>
      </c>
      <c r="J3173" s="2" t="s">
        <v>412</v>
      </c>
      <c r="K3173" s="2" t="s">
        <v>2197</v>
      </c>
      <c r="L3173" s="3">
        <v>0.33888888888888885</v>
      </c>
      <c r="M3173" s="2" t="s">
        <v>2241</v>
      </c>
      <c r="N3173" s="2" t="s">
        <v>500</v>
      </c>
      <c r="O3173" s="2"/>
    </row>
    <row r="3174" spans="1:15" x14ac:dyDescent="0.25">
      <c r="A3174" s="2" t="s">
        <v>15</v>
      </c>
      <c r="B3174" s="2" t="str">
        <f>"FES1162771531"</f>
        <v>FES1162771531</v>
      </c>
      <c r="C3174" s="2" t="s">
        <v>1969</v>
      </c>
      <c r="D3174" s="2">
        <v>1</v>
      </c>
      <c r="E3174" s="2" t="str">
        <f>"2170758563"</f>
        <v>2170758563</v>
      </c>
      <c r="F3174" s="2" t="s">
        <v>17</v>
      </c>
      <c r="G3174" s="2" t="s">
        <v>18</v>
      </c>
      <c r="H3174" s="2" t="s">
        <v>25</v>
      </c>
      <c r="I3174" s="2" t="s">
        <v>39</v>
      </c>
      <c r="J3174" s="2" t="s">
        <v>161</v>
      </c>
      <c r="K3174" s="2" t="s">
        <v>2138</v>
      </c>
      <c r="L3174" s="3">
        <v>0.51250000000000007</v>
      </c>
      <c r="M3174" s="2" t="s">
        <v>2177</v>
      </c>
      <c r="N3174" s="2" t="s">
        <v>500</v>
      </c>
      <c r="O3174" s="2"/>
    </row>
    <row r="3175" spans="1:15" x14ac:dyDescent="0.25">
      <c r="A3175" s="2" t="s">
        <v>15</v>
      </c>
      <c r="B3175" s="2" t="str">
        <f>"FES1162771604"</f>
        <v>FES1162771604</v>
      </c>
      <c r="C3175" s="2" t="s">
        <v>1969</v>
      </c>
      <c r="D3175" s="2">
        <v>1</v>
      </c>
      <c r="E3175" s="2" t="str">
        <f>"2170758651"</f>
        <v>2170758651</v>
      </c>
      <c r="F3175" s="2" t="s">
        <v>17</v>
      </c>
      <c r="G3175" s="2" t="s">
        <v>18</v>
      </c>
      <c r="H3175" s="2" t="s">
        <v>25</v>
      </c>
      <c r="I3175" s="2" t="s">
        <v>26</v>
      </c>
      <c r="J3175" s="2" t="s">
        <v>75</v>
      </c>
      <c r="K3175" s="2" t="s">
        <v>2138</v>
      </c>
      <c r="L3175" s="3">
        <v>0.3298611111111111</v>
      </c>
      <c r="M3175" s="2" t="s">
        <v>518</v>
      </c>
      <c r="N3175" s="2" t="s">
        <v>500</v>
      </c>
      <c r="O3175" s="2"/>
    </row>
    <row r="3176" spans="1:15" x14ac:dyDescent="0.25">
      <c r="A3176" s="2" t="s">
        <v>15</v>
      </c>
      <c r="B3176" s="2" t="str">
        <f>"FES1162771603"</f>
        <v>FES1162771603</v>
      </c>
      <c r="C3176" s="2" t="s">
        <v>1969</v>
      </c>
      <c r="D3176" s="2">
        <v>1</v>
      </c>
      <c r="E3176" s="2" t="str">
        <f>"2170758650"</f>
        <v>2170758650</v>
      </c>
      <c r="F3176" s="2" t="s">
        <v>2147</v>
      </c>
      <c r="G3176" s="2" t="s">
        <v>18</v>
      </c>
      <c r="H3176" s="2" t="s">
        <v>25</v>
      </c>
      <c r="I3176" s="2" t="s">
        <v>26</v>
      </c>
      <c r="J3176" s="2" t="s">
        <v>75</v>
      </c>
      <c r="K3176" s="2" t="s">
        <v>2160</v>
      </c>
      <c r="L3176" s="3">
        <v>0.41666666666666669</v>
      </c>
      <c r="M3176" s="2" t="s">
        <v>2178</v>
      </c>
      <c r="N3176" s="2" t="s">
        <v>500</v>
      </c>
      <c r="O3176" s="2"/>
    </row>
    <row r="3177" spans="1:15" x14ac:dyDescent="0.25">
      <c r="A3177" s="2" t="s">
        <v>15</v>
      </c>
      <c r="B3177" s="2" t="str">
        <f>"FES1162771565"</f>
        <v>FES1162771565</v>
      </c>
      <c r="C3177" s="2" t="s">
        <v>1969</v>
      </c>
      <c r="D3177" s="2">
        <v>1</v>
      </c>
      <c r="E3177" s="2" t="str">
        <f>"2170758587"</f>
        <v>2170758587</v>
      </c>
      <c r="F3177" s="2" t="s">
        <v>17</v>
      </c>
      <c r="G3177" s="2" t="s">
        <v>18</v>
      </c>
      <c r="H3177" s="2" t="s">
        <v>88</v>
      </c>
      <c r="I3177" s="2" t="s">
        <v>109</v>
      </c>
      <c r="J3177" s="2" t="s">
        <v>2148</v>
      </c>
      <c r="K3177" s="2" t="s">
        <v>2138</v>
      </c>
      <c r="L3177" s="3">
        <v>0.4201388888888889</v>
      </c>
      <c r="M3177" s="2" t="s">
        <v>2179</v>
      </c>
      <c r="N3177" s="2" t="s">
        <v>500</v>
      </c>
      <c r="O3177" s="2"/>
    </row>
    <row r="3178" spans="1:15" x14ac:dyDescent="0.25">
      <c r="A3178" s="2" t="s">
        <v>15</v>
      </c>
      <c r="B3178" s="2" t="str">
        <f>"FES1162771630"</f>
        <v>FES1162771630</v>
      </c>
      <c r="C3178" s="2" t="s">
        <v>1969</v>
      </c>
      <c r="D3178" s="2">
        <v>1</v>
      </c>
      <c r="E3178" s="2" t="str">
        <f>"2170758107"</f>
        <v>2170758107</v>
      </c>
      <c r="F3178" s="2" t="s">
        <v>17</v>
      </c>
      <c r="G3178" s="2" t="s">
        <v>18</v>
      </c>
      <c r="H3178" s="2" t="s">
        <v>25</v>
      </c>
      <c r="I3178" s="2" t="s">
        <v>39</v>
      </c>
      <c r="J3178" s="2" t="s">
        <v>40</v>
      </c>
      <c r="K3178" s="2" t="s">
        <v>2138</v>
      </c>
      <c r="L3178" s="3">
        <v>0.35694444444444445</v>
      </c>
      <c r="M3178" s="2" t="s">
        <v>991</v>
      </c>
      <c r="N3178" s="2" t="s">
        <v>500</v>
      </c>
      <c r="O3178" s="2"/>
    </row>
    <row r="3179" spans="1:15" x14ac:dyDescent="0.25">
      <c r="A3179" s="2" t="s">
        <v>15</v>
      </c>
      <c r="B3179" s="2" t="str">
        <f>"FES1162771590"</f>
        <v>FES1162771590</v>
      </c>
      <c r="C3179" s="2" t="s">
        <v>1969</v>
      </c>
      <c r="D3179" s="2">
        <v>1</v>
      </c>
      <c r="E3179" s="2" t="str">
        <f>"2170758633"</f>
        <v>2170758633</v>
      </c>
      <c r="F3179" s="2" t="s">
        <v>17</v>
      </c>
      <c r="G3179" s="2" t="s">
        <v>18</v>
      </c>
      <c r="H3179" s="2" t="s">
        <v>18</v>
      </c>
      <c r="I3179" s="2" t="s">
        <v>50</v>
      </c>
      <c r="J3179" s="2" t="s">
        <v>51</v>
      </c>
      <c r="K3179" s="2" t="s">
        <v>2138</v>
      </c>
      <c r="L3179" s="3">
        <v>0.4375</v>
      </c>
      <c r="M3179" s="2" t="s">
        <v>557</v>
      </c>
      <c r="N3179" s="2" t="s">
        <v>500</v>
      </c>
      <c r="O3179" s="2"/>
    </row>
    <row r="3180" spans="1:15" x14ac:dyDescent="0.25">
      <c r="A3180" s="2" t="s">
        <v>15</v>
      </c>
      <c r="B3180" s="2" t="str">
        <f>"FES1162771577"</f>
        <v>FES1162771577</v>
      </c>
      <c r="C3180" s="2" t="s">
        <v>1969</v>
      </c>
      <c r="D3180" s="2">
        <v>1</v>
      </c>
      <c r="E3180" s="2" t="str">
        <f>"2170758623"</f>
        <v>2170758623</v>
      </c>
      <c r="F3180" s="2" t="s">
        <v>17</v>
      </c>
      <c r="G3180" s="2" t="s">
        <v>18</v>
      </c>
      <c r="H3180" s="2" t="s">
        <v>25</v>
      </c>
      <c r="I3180" s="2" t="s">
        <v>42</v>
      </c>
      <c r="J3180" s="2" t="s">
        <v>416</v>
      </c>
      <c r="K3180" s="2" t="s">
        <v>2138</v>
      </c>
      <c r="L3180" s="3">
        <v>0.54166666666666663</v>
      </c>
      <c r="M3180" s="2" t="s">
        <v>517</v>
      </c>
      <c r="N3180" s="2" t="s">
        <v>500</v>
      </c>
      <c r="O3180" s="2"/>
    </row>
    <row r="3181" spans="1:15" x14ac:dyDescent="0.25">
      <c r="A3181" s="2" t="s">
        <v>15</v>
      </c>
      <c r="B3181" s="2" t="str">
        <f>"FES1162771594"</f>
        <v>FES1162771594</v>
      </c>
      <c r="C3181" s="2" t="s">
        <v>1969</v>
      </c>
      <c r="D3181" s="2">
        <v>1</v>
      </c>
      <c r="E3181" s="2" t="str">
        <f>"2170758638"</f>
        <v>2170758638</v>
      </c>
      <c r="F3181" s="2" t="s">
        <v>17</v>
      </c>
      <c r="G3181" s="2" t="s">
        <v>18</v>
      </c>
      <c r="H3181" s="2" t="s">
        <v>36</v>
      </c>
      <c r="I3181" s="2" t="s">
        <v>37</v>
      </c>
      <c r="J3181" s="2" t="s">
        <v>55</v>
      </c>
      <c r="K3181" s="2" t="s">
        <v>2138</v>
      </c>
      <c r="L3181" s="3">
        <v>0.42638888888888887</v>
      </c>
      <c r="M3181" s="2" t="s">
        <v>836</v>
      </c>
      <c r="N3181" s="2" t="s">
        <v>500</v>
      </c>
      <c r="O3181" s="2"/>
    </row>
    <row r="3182" spans="1:15" x14ac:dyDescent="0.25">
      <c r="A3182" s="2" t="s">
        <v>15</v>
      </c>
      <c r="B3182" s="2" t="str">
        <f>"FES1162771607"</f>
        <v>FES1162771607</v>
      </c>
      <c r="C3182" s="2" t="s">
        <v>1969</v>
      </c>
      <c r="D3182" s="2">
        <v>1</v>
      </c>
      <c r="E3182" s="2" t="str">
        <f>"2170757902"</f>
        <v>2170757902</v>
      </c>
      <c r="F3182" s="2" t="s">
        <v>17</v>
      </c>
      <c r="G3182" s="2" t="s">
        <v>18</v>
      </c>
      <c r="H3182" s="2" t="s">
        <v>25</v>
      </c>
      <c r="I3182" s="2" t="s">
        <v>125</v>
      </c>
      <c r="J3182" s="2" t="s">
        <v>126</v>
      </c>
      <c r="K3182" s="2" t="s">
        <v>2138</v>
      </c>
      <c r="L3182" s="3">
        <v>0.41875000000000001</v>
      </c>
      <c r="M3182" s="2" t="s">
        <v>235</v>
      </c>
      <c r="N3182" s="2" t="s">
        <v>500</v>
      </c>
      <c r="O3182" s="2"/>
    </row>
    <row r="3183" spans="1:15" x14ac:dyDescent="0.25">
      <c r="A3183" s="2" t="s">
        <v>15</v>
      </c>
      <c r="B3183" s="2" t="str">
        <f>"FES1162771595"</f>
        <v>FES1162771595</v>
      </c>
      <c r="C3183" s="2" t="s">
        <v>1969</v>
      </c>
      <c r="D3183" s="2">
        <v>1</v>
      </c>
      <c r="E3183" s="2" t="str">
        <f>"2170758639"</f>
        <v>2170758639</v>
      </c>
      <c r="F3183" s="2" t="s">
        <v>17</v>
      </c>
      <c r="G3183" s="2" t="s">
        <v>18</v>
      </c>
      <c r="H3183" s="2" t="s">
        <v>25</v>
      </c>
      <c r="I3183" s="2" t="s">
        <v>125</v>
      </c>
      <c r="J3183" s="2" t="s">
        <v>126</v>
      </c>
      <c r="K3183" s="2" t="s">
        <v>2138</v>
      </c>
      <c r="L3183" s="3">
        <v>0.41805555555555557</v>
      </c>
      <c r="M3183" s="2" t="s">
        <v>235</v>
      </c>
      <c r="N3183" s="2" t="s">
        <v>500</v>
      </c>
      <c r="O3183" s="2"/>
    </row>
    <row r="3184" spans="1:15" x14ac:dyDescent="0.25">
      <c r="A3184" s="2" t="s">
        <v>15</v>
      </c>
      <c r="B3184" s="2" t="str">
        <f>"FES1162771605"</f>
        <v>FES1162771605</v>
      </c>
      <c r="C3184" s="2" t="s">
        <v>1969</v>
      </c>
      <c r="D3184" s="2">
        <v>1</v>
      </c>
      <c r="E3184" s="2" t="str">
        <f>"2170758654"</f>
        <v>2170758654</v>
      </c>
      <c r="F3184" s="2" t="s">
        <v>17</v>
      </c>
      <c r="G3184" s="2" t="s">
        <v>18</v>
      </c>
      <c r="H3184" s="2" t="s">
        <v>25</v>
      </c>
      <c r="I3184" s="2" t="s">
        <v>26</v>
      </c>
      <c r="J3184" s="2" t="s">
        <v>75</v>
      </c>
      <c r="K3184" s="2" t="s">
        <v>2138</v>
      </c>
      <c r="L3184" s="3">
        <v>0.32916666666666666</v>
      </c>
      <c r="M3184" s="2" t="s">
        <v>518</v>
      </c>
      <c r="N3184" s="2" t="s">
        <v>500</v>
      </c>
      <c r="O3184" s="2"/>
    </row>
    <row r="3185" spans="1:15" x14ac:dyDescent="0.25">
      <c r="A3185" s="2" t="s">
        <v>15</v>
      </c>
      <c r="B3185" s="2" t="str">
        <f>"FES1162771618"</f>
        <v>FES1162771618</v>
      </c>
      <c r="C3185" s="2" t="s">
        <v>1969</v>
      </c>
      <c r="D3185" s="2">
        <v>1</v>
      </c>
      <c r="E3185" s="2" t="str">
        <f>"2170754248"</f>
        <v>2170754248</v>
      </c>
      <c r="F3185" s="2" t="s">
        <v>17</v>
      </c>
      <c r="G3185" s="2" t="s">
        <v>18</v>
      </c>
      <c r="H3185" s="2" t="s">
        <v>36</v>
      </c>
      <c r="I3185" s="2" t="s">
        <v>37</v>
      </c>
      <c r="J3185" s="2" t="s">
        <v>162</v>
      </c>
      <c r="K3185" s="2" t="s">
        <v>2138</v>
      </c>
      <c r="L3185" s="3">
        <v>0.3298611111111111</v>
      </c>
      <c r="M3185" s="2" t="s">
        <v>268</v>
      </c>
      <c r="N3185" s="2" t="s">
        <v>500</v>
      </c>
      <c r="O3185" s="2"/>
    </row>
    <row r="3186" spans="1:15" x14ac:dyDescent="0.25">
      <c r="A3186" s="2" t="s">
        <v>15</v>
      </c>
      <c r="B3186" s="2" t="str">
        <f>"FES1162770998"</f>
        <v>FES1162770998</v>
      </c>
      <c r="C3186" s="2" t="s">
        <v>1969</v>
      </c>
      <c r="D3186" s="2">
        <v>1</v>
      </c>
      <c r="E3186" s="2" t="str">
        <f>"2170752841"</f>
        <v>2170752841</v>
      </c>
      <c r="F3186" s="2" t="s">
        <v>17</v>
      </c>
      <c r="G3186" s="2" t="s">
        <v>18</v>
      </c>
      <c r="H3186" s="2" t="s">
        <v>18</v>
      </c>
      <c r="I3186" s="2" t="s">
        <v>290</v>
      </c>
      <c r="J3186" s="2" t="s">
        <v>492</v>
      </c>
      <c r="K3186" s="2" t="s">
        <v>2138</v>
      </c>
      <c r="L3186" s="3">
        <v>0.42083333333333334</v>
      </c>
      <c r="M3186" s="2" t="s">
        <v>2162</v>
      </c>
      <c r="N3186" s="2" t="s">
        <v>500</v>
      </c>
      <c r="O3186" s="2"/>
    </row>
    <row r="3187" spans="1:15" x14ac:dyDescent="0.25">
      <c r="A3187" s="2" t="s">
        <v>15</v>
      </c>
      <c r="B3187" s="2" t="str">
        <f>"FES1162771631"</f>
        <v>FES1162771631</v>
      </c>
      <c r="C3187" s="2" t="s">
        <v>1969</v>
      </c>
      <c r="D3187" s="2">
        <v>1</v>
      </c>
      <c r="E3187" s="2" t="str">
        <f>"2170756206"</f>
        <v>2170756206</v>
      </c>
      <c r="F3187" s="2" t="s">
        <v>17</v>
      </c>
      <c r="G3187" s="2" t="s">
        <v>18</v>
      </c>
      <c r="H3187" s="2" t="s">
        <v>25</v>
      </c>
      <c r="I3187" s="2" t="s">
        <v>26</v>
      </c>
      <c r="J3187" s="2" t="s">
        <v>422</v>
      </c>
      <c r="K3187" s="2" t="s">
        <v>2138</v>
      </c>
      <c r="L3187" s="3">
        <v>0.35069444444444442</v>
      </c>
      <c r="M3187" s="2" t="s">
        <v>2180</v>
      </c>
      <c r="N3187" s="2" t="s">
        <v>500</v>
      </c>
      <c r="O3187" s="2"/>
    </row>
    <row r="3188" spans="1:15" x14ac:dyDescent="0.25">
      <c r="A3188" s="2" t="s">
        <v>15</v>
      </c>
      <c r="B3188" s="2" t="str">
        <f>"FES1162771621"</f>
        <v>FES1162771621</v>
      </c>
      <c r="C3188" s="2" t="s">
        <v>1969</v>
      </c>
      <c r="D3188" s="2">
        <v>1</v>
      </c>
      <c r="E3188" s="2" t="str">
        <f>"2170757129"</f>
        <v>2170757129</v>
      </c>
      <c r="F3188" s="2" t="s">
        <v>17</v>
      </c>
      <c r="G3188" s="2" t="s">
        <v>18</v>
      </c>
      <c r="H3188" s="2" t="s">
        <v>25</v>
      </c>
      <c r="I3188" s="2" t="s">
        <v>42</v>
      </c>
      <c r="J3188" s="2" t="s">
        <v>43</v>
      </c>
      <c r="K3188" s="2" t="s">
        <v>2138</v>
      </c>
      <c r="L3188" s="3">
        <v>0.54166666666666663</v>
      </c>
      <c r="M3188" s="2" t="s">
        <v>180</v>
      </c>
      <c r="N3188" s="2" t="s">
        <v>500</v>
      </c>
      <c r="O3188" s="2"/>
    </row>
    <row r="3189" spans="1:15" x14ac:dyDescent="0.25">
      <c r="A3189" s="2" t="s">
        <v>15</v>
      </c>
      <c r="B3189" s="2" t="str">
        <f>"FES1162771557"</f>
        <v>FES1162771557</v>
      </c>
      <c r="C3189" s="2" t="s">
        <v>1969</v>
      </c>
      <c r="D3189" s="2">
        <v>1</v>
      </c>
      <c r="E3189" s="2" t="str">
        <f>"2170758581"</f>
        <v>2170758581</v>
      </c>
      <c r="F3189" s="2" t="s">
        <v>17</v>
      </c>
      <c r="G3189" s="2" t="s">
        <v>18</v>
      </c>
      <c r="H3189" s="2" t="s">
        <v>18</v>
      </c>
      <c r="I3189" s="2" t="s">
        <v>163</v>
      </c>
      <c r="J3189" s="2" t="s">
        <v>2149</v>
      </c>
      <c r="K3189" s="2" t="s">
        <v>2138</v>
      </c>
      <c r="L3189" s="3">
        <v>0.4375</v>
      </c>
      <c r="M3189" s="2" t="s">
        <v>2181</v>
      </c>
      <c r="N3189" s="2" t="s">
        <v>500</v>
      </c>
      <c r="O3189" s="2"/>
    </row>
    <row r="3190" spans="1:15" x14ac:dyDescent="0.25">
      <c r="A3190" s="2" t="s">
        <v>15</v>
      </c>
      <c r="B3190" s="2" t="str">
        <f>"FES1162771613"</f>
        <v>FES1162771613</v>
      </c>
      <c r="C3190" s="2" t="s">
        <v>1969</v>
      </c>
      <c r="D3190" s="2">
        <v>1</v>
      </c>
      <c r="E3190" s="2" t="str">
        <f>"2170757252"</f>
        <v>2170757252</v>
      </c>
      <c r="F3190" s="2" t="s">
        <v>17</v>
      </c>
      <c r="G3190" s="2" t="s">
        <v>18</v>
      </c>
      <c r="H3190" s="2" t="s">
        <v>36</v>
      </c>
      <c r="I3190" s="2" t="s">
        <v>67</v>
      </c>
      <c r="J3190" s="2" t="s">
        <v>68</v>
      </c>
      <c r="K3190" s="2" t="s">
        <v>2138</v>
      </c>
      <c r="L3190" s="3">
        <v>0.40625</v>
      </c>
      <c r="M3190" s="2" t="s">
        <v>190</v>
      </c>
      <c r="N3190" s="2" t="s">
        <v>500</v>
      </c>
      <c r="O3190" s="2"/>
    </row>
    <row r="3191" spans="1:15" x14ac:dyDescent="0.25">
      <c r="A3191" s="2" t="s">
        <v>15</v>
      </c>
      <c r="B3191" s="2" t="str">
        <f>"FES1162771615"</f>
        <v>FES1162771615</v>
      </c>
      <c r="C3191" s="2" t="s">
        <v>1969</v>
      </c>
      <c r="D3191" s="2">
        <v>1</v>
      </c>
      <c r="E3191" s="2" t="str">
        <f>"2170752862"</f>
        <v>2170752862</v>
      </c>
      <c r="F3191" s="2" t="s">
        <v>17</v>
      </c>
      <c r="G3191" s="2" t="s">
        <v>18</v>
      </c>
      <c r="H3191" s="2" t="s">
        <v>36</v>
      </c>
      <c r="I3191" s="2" t="s">
        <v>37</v>
      </c>
      <c r="J3191" s="2" t="s">
        <v>162</v>
      </c>
      <c r="K3191" s="2" t="s">
        <v>2138</v>
      </c>
      <c r="L3191" s="3">
        <v>0.3298611111111111</v>
      </c>
      <c r="M3191" s="2" t="s">
        <v>268</v>
      </c>
      <c r="N3191" s="2" t="s">
        <v>500</v>
      </c>
      <c r="O3191" s="2"/>
    </row>
    <row r="3192" spans="1:15" x14ac:dyDescent="0.25">
      <c r="A3192" s="2" t="s">
        <v>15</v>
      </c>
      <c r="B3192" s="2" t="str">
        <f>"FES1162771518"</f>
        <v>FES1162771518</v>
      </c>
      <c r="C3192" s="2" t="s">
        <v>1969</v>
      </c>
      <c r="D3192" s="2">
        <v>1</v>
      </c>
      <c r="E3192" s="2" t="str">
        <f>"2170756824"</f>
        <v>2170756824</v>
      </c>
      <c r="F3192" s="2" t="s">
        <v>17</v>
      </c>
      <c r="G3192" s="2" t="s">
        <v>18</v>
      </c>
      <c r="H3192" s="2" t="s">
        <v>18</v>
      </c>
      <c r="I3192" s="2" t="s">
        <v>163</v>
      </c>
      <c r="J3192" s="2" t="s">
        <v>1404</v>
      </c>
      <c r="K3192" s="2" t="s">
        <v>2138</v>
      </c>
      <c r="L3192" s="3">
        <v>0.3430555555555555</v>
      </c>
      <c r="M3192" s="2" t="s">
        <v>2004</v>
      </c>
      <c r="N3192" s="2" t="s">
        <v>500</v>
      </c>
      <c r="O3192" s="2"/>
    </row>
    <row r="3193" spans="1:15" x14ac:dyDescent="0.25">
      <c r="A3193" s="2" t="s">
        <v>15</v>
      </c>
      <c r="B3193" s="2" t="str">
        <f>"FES1162771619"</f>
        <v>FES1162771619</v>
      </c>
      <c r="C3193" s="2" t="s">
        <v>1969</v>
      </c>
      <c r="D3193" s="2">
        <v>1</v>
      </c>
      <c r="E3193" s="2" t="str">
        <f>"2170757656"</f>
        <v>2170757656</v>
      </c>
      <c r="F3193" s="2" t="s">
        <v>17</v>
      </c>
      <c r="G3193" s="2" t="s">
        <v>18</v>
      </c>
      <c r="H3193" s="2" t="s">
        <v>36</v>
      </c>
      <c r="I3193" s="2" t="s">
        <v>37</v>
      </c>
      <c r="J3193" s="2" t="s">
        <v>376</v>
      </c>
      <c r="K3193" s="2" t="s">
        <v>2138</v>
      </c>
      <c r="L3193" s="3">
        <v>0.41388888888888892</v>
      </c>
      <c r="M3193" s="2" t="s">
        <v>2182</v>
      </c>
      <c r="N3193" s="2" t="s">
        <v>500</v>
      </c>
      <c r="O3193" s="2"/>
    </row>
    <row r="3194" spans="1:15" x14ac:dyDescent="0.25">
      <c r="A3194" s="2" t="s">
        <v>15</v>
      </c>
      <c r="B3194" s="2" t="str">
        <f>"FES1162771617"</f>
        <v>FES1162771617</v>
      </c>
      <c r="C3194" s="2" t="s">
        <v>1969</v>
      </c>
      <c r="D3194" s="2">
        <v>1</v>
      </c>
      <c r="E3194" s="2" t="str">
        <f>"2170753245"</f>
        <v>2170753245</v>
      </c>
      <c r="F3194" s="2" t="s">
        <v>17</v>
      </c>
      <c r="G3194" s="2" t="s">
        <v>18</v>
      </c>
      <c r="H3194" s="2" t="s">
        <v>36</v>
      </c>
      <c r="I3194" s="2" t="s">
        <v>37</v>
      </c>
      <c r="J3194" s="2" t="s">
        <v>162</v>
      </c>
      <c r="K3194" s="2" t="s">
        <v>2138</v>
      </c>
      <c r="L3194" s="3">
        <v>0.3298611111111111</v>
      </c>
      <c r="M3194" s="2" t="s">
        <v>268</v>
      </c>
      <c r="N3194" s="2" t="s">
        <v>500</v>
      </c>
      <c r="O3194" s="2"/>
    </row>
    <row r="3195" spans="1:15" x14ac:dyDescent="0.25">
      <c r="A3195" s="2" t="s">
        <v>15</v>
      </c>
      <c r="B3195" s="2" t="str">
        <f>"FES1162771616"</f>
        <v>FES1162771616</v>
      </c>
      <c r="C3195" s="2" t="s">
        <v>1969</v>
      </c>
      <c r="D3195" s="2">
        <v>1</v>
      </c>
      <c r="E3195" s="2" t="str">
        <f>"2170753244"</f>
        <v>2170753244</v>
      </c>
      <c r="F3195" s="2" t="s">
        <v>17</v>
      </c>
      <c r="G3195" s="2" t="s">
        <v>18</v>
      </c>
      <c r="H3195" s="2" t="s">
        <v>36</v>
      </c>
      <c r="I3195" s="2" t="s">
        <v>37</v>
      </c>
      <c r="J3195" s="2" t="s">
        <v>162</v>
      </c>
      <c r="K3195" s="2" t="s">
        <v>2138</v>
      </c>
      <c r="L3195" s="3">
        <v>0.32847222222222222</v>
      </c>
      <c r="M3195" s="2" t="s">
        <v>268</v>
      </c>
      <c r="N3195" s="2" t="s">
        <v>500</v>
      </c>
      <c r="O3195" s="2"/>
    </row>
    <row r="3196" spans="1:15" x14ac:dyDescent="0.25">
      <c r="A3196" s="2" t="s">
        <v>15</v>
      </c>
      <c r="B3196" s="2" t="str">
        <f>"FES1162770859"</f>
        <v>FES1162770859</v>
      </c>
      <c r="C3196" s="2" t="s">
        <v>1969</v>
      </c>
      <c r="D3196" s="2">
        <v>1</v>
      </c>
      <c r="E3196" s="2" t="str">
        <f>"2170756447"</f>
        <v>2170756447</v>
      </c>
      <c r="F3196" s="2" t="s">
        <v>17</v>
      </c>
      <c r="G3196" s="2" t="s">
        <v>18</v>
      </c>
      <c r="H3196" s="2" t="s">
        <v>18</v>
      </c>
      <c r="I3196" s="2" t="s">
        <v>163</v>
      </c>
      <c r="J3196" s="2" t="s">
        <v>2150</v>
      </c>
      <c r="K3196" s="2" t="s">
        <v>2138</v>
      </c>
      <c r="L3196" s="3">
        <v>0.3576388888888889</v>
      </c>
      <c r="M3196" s="2" t="s">
        <v>2183</v>
      </c>
      <c r="N3196" s="2" t="s">
        <v>500</v>
      </c>
      <c r="O3196" s="2"/>
    </row>
    <row r="3197" spans="1:15" x14ac:dyDescent="0.25">
      <c r="A3197" s="2" t="s">
        <v>15</v>
      </c>
      <c r="B3197" s="2" t="str">
        <f>"FES1162771614"</f>
        <v>FES1162771614</v>
      </c>
      <c r="C3197" s="2" t="s">
        <v>1969</v>
      </c>
      <c r="D3197" s="2">
        <v>1</v>
      </c>
      <c r="E3197" s="2" t="str">
        <f>"2170752857"</f>
        <v>2170752857</v>
      </c>
      <c r="F3197" s="2" t="s">
        <v>17</v>
      </c>
      <c r="G3197" s="2" t="s">
        <v>18</v>
      </c>
      <c r="H3197" s="2" t="s">
        <v>36</v>
      </c>
      <c r="I3197" s="2" t="s">
        <v>37</v>
      </c>
      <c r="J3197" s="2" t="s">
        <v>162</v>
      </c>
      <c r="K3197" s="2" t="s">
        <v>2138</v>
      </c>
      <c r="L3197" s="3">
        <v>0.3298611111111111</v>
      </c>
      <c r="M3197" s="2" t="s">
        <v>268</v>
      </c>
      <c r="N3197" s="2" t="s">
        <v>500</v>
      </c>
      <c r="O3197" s="2"/>
    </row>
    <row r="3198" spans="1:15" x14ac:dyDescent="0.25">
      <c r="A3198" s="2" t="s">
        <v>15</v>
      </c>
      <c r="B3198" s="2" t="str">
        <f>"FES1162771560"</f>
        <v>FES1162771560</v>
      </c>
      <c r="C3198" s="2" t="s">
        <v>1969</v>
      </c>
      <c r="D3198" s="2">
        <v>1</v>
      </c>
      <c r="E3198" s="2" t="str">
        <f>"2170758607"</f>
        <v>2170758607</v>
      </c>
      <c r="F3198" s="2" t="s">
        <v>17</v>
      </c>
      <c r="G3198" s="2" t="s">
        <v>18</v>
      </c>
      <c r="H3198" s="2" t="s">
        <v>18</v>
      </c>
      <c r="I3198" s="2" t="s">
        <v>46</v>
      </c>
      <c r="J3198" s="2" t="s">
        <v>1950</v>
      </c>
      <c r="K3198" s="2" t="s">
        <v>2138</v>
      </c>
      <c r="L3198" s="3">
        <v>0.38194444444444442</v>
      </c>
      <c r="M3198" s="2" t="s">
        <v>559</v>
      </c>
      <c r="N3198" s="2" t="s">
        <v>500</v>
      </c>
      <c r="O3198" s="2"/>
    </row>
    <row r="3199" spans="1:15" x14ac:dyDescent="0.25">
      <c r="A3199" s="2" t="s">
        <v>15</v>
      </c>
      <c r="B3199" s="2" t="str">
        <f>"FES1162771602"</f>
        <v>FES1162771602</v>
      </c>
      <c r="C3199" s="2" t="s">
        <v>1969</v>
      </c>
      <c r="D3199" s="2">
        <v>1</v>
      </c>
      <c r="E3199" s="2" t="str">
        <f>"2170758645"</f>
        <v>2170758645</v>
      </c>
      <c r="F3199" s="2" t="s">
        <v>17</v>
      </c>
      <c r="G3199" s="2" t="s">
        <v>18</v>
      </c>
      <c r="H3199" s="2" t="s">
        <v>19</v>
      </c>
      <c r="I3199" s="2" t="s">
        <v>20</v>
      </c>
      <c r="J3199" s="2" t="s">
        <v>359</v>
      </c>
      <c r="K3199" s="2" t="s">
        <v>2138</v>
      </c>
      <c r="L3199" s="3">
        <v>0.54791666666666672</v>
      </c>
      <c r="M3199" s="2" t="s">
        <v>2184</v>
      </c>
      <c r="N3199" s="2" t="s">
        <v>500</v>
      </c>
      <c r="O3199" s="2"/>
    </row>
    <row r="3200" spans="1:15" x14ac:dyDescent="0.25">
      <c r="A3200" s="2" t="s">
        <v>15</v>
      </c>
      <c r="B3200" s="2" t="str">
        <f>"FES1162771585"</f>
        <v>FES1162771585</v>
      </c>
      <c r="C3200" s="2" t="s">
        <v>1969</v>
      </c>
      <c r="D3200" s="2">
        <v>1</v>
      </c>
      <c r="E3200" s="2" t="str">
        <f>"2170758602"</f>
        <v>2170758602</v>
      </c>
      <c r="F3200" s="2" t="s">
        <v>17</v>
      </c>
      <c r="G3200" s="2" t="s">
        <v>18</v>
      </c>
      <c r="H3200" s="2" t="s">
        <v>88</v>
      </c>
      <c r="I3200" s="2" t="s">
        <v>109</v>
      </c>
      <c r="J3200" s="2" t="s">
        <v>779</v>
      </c>
      <c r="K3200" s="2" t="s">
        <v>2138</v>
      </c>
      <c r="L3200" s="3">
        <v>0.69930555555555562</v>
      </c>
      <c r="M3200" s="2" t="s">
        <v>2161</v>
      </c>
      <c r="N3200" s="2" t="s">
        <v>500</v>
      </c>
      <c r="O3200" s="2"/>
    </row>
    <row r="3201" spans="1:15" x14ac:dyDescent="0.25">
      <c r="A3201" s="2" t="s">
        <v>15</v>
      </c>
      <c r="B3201" s="2" t="str">
        <f>"FES1162771587"</f>
        <v>FES1162771587</v>
      </c>
      <c r="C3201" s="2" t="s">
        <v>1969</v>
      </c>
      <c r="D3201" s="2">
        <v>1</v>
      </c>
      <c r="E3201" s="2" t="str">
        <f>"2170758629"</f>
        <v>2170758629</v>
      </c>
      <c r="F3201" s="2" t="s">
        <v>17</v>
      </c>
      <c r="G3201" s="2" t="s">
        <v>18</v>
      </c>
      <c r="H3201" s="2" t="s">
        <v>88</v>
      </c>
      <c r="I3201" s="2" t="s">
        <v>109</v>
      </c>
      <c r="J3201" s="2" t="s">
        <v>2151</v>
      </c>
      <c r="K3201" s="2" t="s">
        <v>2138</v>
      </c>
      <c r="L3201" s="3">
        <v>0.46249999999999997</v>
      </c>
      <c r="M3201" s="2" t="s">
        <v>2185</v>
      </c>
      <c r="N3201" s="2" t="s">
        <v>500</v>
      </c>
      <c r="O3201" s="2"/>
    </row>
    <row r="3202" spans="1:15" x14ac:dyDescent="0.25">
      <c r="A3202" s="2" t="s">
        <v>15</v>
      </c>
      <c r="B3202" s="2" t="str">
        <f>"FES1162771609"</f>
        <v>FES1162771609</v>
      </c>
      <c r="C3202" s="2" t="s">
        <v>1969</v>
      </c>
      <c r="D3202" s="2">
        <v>1</v>
      </c>
      <c r="E3202" s="2" t="str">
        <f>"2170758488"</f>
        <v>2170758488</v>
      </c>
      <c r="F3202" s="2" t="s">
        <v>17</v>
      </c>
      <c r="G3202" s="2" t="s">
        <v>18</v>
      </c>
      <c r="H3202" s="2" t="s">
        <v>36</v>
      </c>
      <c r="I3202" s="2" t="s">
        <v>134</v>
      </c>
      <c r="J3202" s="2" t="s">
        <v>319</v>
      </c>
      <c r="K3202" s="2" t="s">
        <v>2138</v>
      </c>
      <c r="L3202" s="3">
        <v>0.4375</v>
      </c>
      <c r="M3202" s="2" t="s">
        <v>2186</v>
      </c>
      <c r="N3202" s="2" t="s">
        <v>500</v>
      </c>
      <c r="O3202" s="2"/>
    </row>
    <row r="3203" spans="1:15" x14ac:dyDescent="0.25">
      <c r="A3203" s="2" t="s">
        <v>15</v>
      </c>
      <c r="B3203" s="2" t="str">
        <f>"FES1162771608"</f>
        <v>FES1162771608</v>
      </c>
      <c r="C3203" s="2" t="s">
        <v>1969</v>
      </c>
      <c r="D3203" s="2">
        <v>1</v>
      </c>
      <c r="E3203" s="2" t="str">
        <f>"2170758281"</f>
        <v>2170758281</v>
      </c>
      <c r="F3203" s="2" t="s">
        <v>17</v>
      </c>
      <c r="G3203" s="2" t="s">
        <v>18</v>
      </c>
      <c r="H3203" s="2" t="s">
        <v>36</v>
      </c>
      <c r="I3203" s="2" t="s">
        <v>37</v>
      </c>
      <c r="J3203" s="2" t="s">
        <v>1960</v>
      </c>
      <c r="K3203" s="2" t="s">
        <v>2138</v>
      </c>
      <c r="L3203" s="3">
        <v>0.40069444444444446</v>
      </c>
      <c r="M3203" s="2" t="s">
        <v>2187</v>
      </c>
      <c r="N3203" s="2" t="s">
        <v>500</v>
      </c>
      <c r="O3203" s="2"/>
    </row>
    <row r="3204" spans="1:15" x14ac:dyDescent="0.25">
      <c r="A3204" s="2" t="s">
        <v>15</v>
      </c>
      <c r="B3204" s="2" t="str">
        <f>"FES1162771596"</f>
        <v>FES1162771596</v>
      </c>
      <c r="C3204" s="2" t="s">
        <v>1969</v>
      </c>
      <c r="D3204" s="2">
        <v>1</v>
      </c>
      <c r="E3204" s="2" t="str">
        <f>"2170758640"</f>
        <v>2170758640</v>
      </c>
      <c r="F3204" s="2" t="s">
        <v>17</v>
      </c>
      <c r="G3204" s="2" t="s">
        <v>18</v>
      </c>
      <c r="H3204" s="2" t="s">
        <v>78</v>
      </c>
      <c r="I3204" s="2" t="s">
        <v>79</v>
      </c>
      <c r="J3204" s="2" t="s">
        <v>383</v>
      </c>
      <c r="K3204" s="2" t="s">
        <v>2138</v>
      </c>
      <c r="L3204" s="3">
        <v>0.42708333333333331</v>
      </c>
      <c r="M3204" s="2" t="s">
        <v>1275</v>
      </c>
      <c r="N3204" s="2" t="s">
        <v>500</v>
      </c>
      <c r="O3204" s="2"/>
    </row>
    <row r="3205" spans="1:15" x14ac:dyDescent="0.25">
      <c r="A3205" s="2" t="s">
        <v>15</v>
      </c>
      <c r="B3205" s="2" t="str">
        <f>"FES1162771583"</f>
        <v>FES1162771583</v>
      </c>
      <c r="C3205" s="2" t="s">
        <v>1969</v>
      </c>
      <c r="D3205" s="2">
        <v>1</v>
      </c>
      <c r="E3205" s="2" t="str">
        <f>"2170758625"</f>
        <v>2170758625</v>
      </c>
      <c r="F3205" s="2" t="s">
        <v>17</v>
      </c>
      <c r="G3205" s="2" t="s">
        <v>18</v>
      </c>
      <c r="H3205" s="2" t="s">
        <v>19</v>
      </c>
      <c r="I3205" s="2" t="s">
        <v>111</v>
      </c>
      <c r="J3205" s="2" t="s">
        <v>662</v>
      </c>
      <c r="K3205" s="2" t="s">
        <v>2138</v>
      </c>
      <c r="L3205" s="3">
        <v>0.45</v>
      </c>
      <c r="M3205" s="2" t="s">
        <v>738</v>
      </c>
      <c r="N3205" s="2" t="s">
        <v>500</v>
      </c>
      <c r="O3205" s="2"/>
    </row>
    <row r="3206" spans="1:15" x14ac:dyDescent="0.25">
      <c r="A3206" s="2" t="s">
        <v>15</v>
      </c>
      <c r="B3206" s="2" t="str">
        <f>"FES1162771635"</f>
        <v>FES1162771635</v>
      </c>
      <c r="C3206" s="2" t="s">
        <v>1969</v>
      </c>
      <c r="D3206" s="2">
        <v>1</v>
      </c>
      <c r="E3206" s="2" t="str">
        <f>"2170758678"</f>
        <v>2170758678</v>
      </c>
      <c r="F3206" s="2" t="s">
        <v>17</v>
      </c>
      <c r="G3206" s="2" t="s">
        <v>18</v>
      </c>
      <c r="H3206" s="2" t="s">
        <v>25</v>
      </c>
      <c r="I3206" s="2" t="s">
        <v>345</v>
      </c>
      <c r="J3206" s="2" t="s">
        <v>412</v>
      </c>
      <c r="K3206" s="2" t="s">
        <v>2197</v>
      </c>
      <c r="L3206" s="3">
        <v>0.33888888888888885</v>
      </c>
      <c r="M3206" s="2" t="s">
        <v>2241</v>
      </c>
      <c r="N3206" s="2" t="s">
        <v>500</v>
      </c>
      <c r="O3206" s="2"/>
    </row>
    <row r="3207" spans="1:15" x14ac:dyDescent="0.25">
      <c r="A3207" s="2" t="s">
        <v>15</v>
      </c>
      <c r="B3207" s="2" t="str">
        <f>"FES1162771633"</f>
        <v>FES1162771633</v>
      </c>
      <c r="C3207" s="2" t="s">
        <v>1969</v>
      </c>
      <c r="D3207" s="2">
        <v>1</v>
      </c>
      <c r="E3207" s="2" t="str">
        <f>"2170758676"</f>
        <v>2170758676</v>
      </c>
      <c r="F3207" s="2" t="s">
        <v>17</v>
      </c>
      <c r="G3207" s="2" t="s">
        <v>18</v>
      </c>
      <c r="H3207" s="2" t="s">
        <v>19</v>
      </c>
      <c r="I3207" s="2" t="s">
        <v>269</v>
      </c>
      <c r="J3207" s="2" t="s">
        <v>796</v>
      </c>
      <c r="K3207" s="2" t="s">
        <v>2138</v>
      </c>
      <c r="L3207" s="3">
        <v>0.46388888888888885</v>
      </c>
      <c r="M3207" s="2" t="s">
        <v>2188</v>
      </c>
      <c r="N3207" s="2" t="s">
        <v>500</v>
      </c>
      <c r="O3207" s="2"/>
    </row>
    <row r="3208" spans="1:15" x14ac:dyDescent="0.25">
      <c r="A3208" s="2" t="s">
        <v>15</v>
      </c>
      <c r="B3208" s="2" t="str">
        <f>"FES1162771599"</f>
        <v>FES1162771599</v>
      </c>
      <c r="C3208" s="2" t="s">
        <v>1969</v>
      </c>
      <c r="D3208" s="2">
        <v>1</v>
      </c>
      <c r="E3208" s="2" t="str">
        <f>"2170758646"</f>
        <v>2170758646</v>
      </c>
      <c r="F3208" s="2" t="s">
        <v>17</v>
      </c>
      <c r="G3208" s="2" t="s">
        <v>18</v>
      </c>
      <c r="H3208" s="2" t="s">
        <v>18</v>
      </c>
      <c r="I3208" s="2" t="s">
        <v>63</v>
      </c>
      <c r="J3208" s="2" t="s">
        <v>2152</v>
      </c>
      <c r="K3208" s="2" t="s">
        <v>2138</v>
      </c>
      <c r="L3208" s="3">
        <v>0.33333333333333331</v>
      </c>
      <c r="M3208" s="2" t="s">
        <v>2189</v>
      </c>
      <c r="N3208" s="2" t="s">
        <v>500</v>
      </c>
      <c r="O3208" s="2"/>
    </row>
    <row r="3209" spans="1:15" x14ac:dyDescent="0.25">
      <c r="A3209" s="2" t="s">
        <v>15</v>
      </c>
      <c r="B3209" s="2" t="str">
        <f>"FES1162771611"</f>
        <v>FES1162771611</v>
      </c>
      <c r="C3209" s="2" t="s">
        <v>1969</v>
      </c>
      <c r="D3209" s="2">
        <v>1</v>
      </c>
      <c r="E3209" s="2" t="str">
        <f>"2170758662"</f>
        <v>2170758662</v>
      </c>
      <c r="F3209" s="2" t="s">
        <v>205</v>
      </c>
      <c r="G3209" s="2" t="s">
        <v>206</v>
      </c>
      <c r="H3209" s="2" t="s">
        <v>657</v>
      </c>
      <c r="I3209" s="2" t="s">
        <v>658</v>
      </c>
      <c r="J3209" s="2" t="s">
        <v>2153</v>
      </c>
      <c r="K3209" s="2" t="s">
        <v>2138</v>
      </c>
      <c r="L3209" s="3">
        <v>0.47916666666666669</v>
      </c>
      <c r="M3209" s="2" t="s">
        <v>2190</v>
      </c>
      <c r="N3209" s="2" t="s">
        <v>500</v>
      </c>
      <c r="O3209" s="2"/>
    </row>
    <row r="3210" spans="1:15" x14ac:dyDescent="0.25">
      <c r="A3210" s="2" t="s">
        <v>15</v>
      </c>
      <c r="B3210" s="2" t="str">
        <f>"FES1162771572"</f>
        <v>FES1162771572</v>
      </c>
      <c r="C3210" s="2" t="s">
        <v>1969</v>
      </c>
      <c r="D3210" s="2">
        <v>1</v>
      </c>
      <c r="E3210" s="2" t="str">
        <f>"2170758616"</f>
        <v>2170758616</v>
      </c>
      <c r="F3210" s="2" t="s">
        <v>17</v>
      </c>
      <c r="G3210" s="2" t="s">
        <v>18</v>
      </c>
      <c r="H3210" s="2" t="s">
        <v>18</v>
      </c>
      <c r="I3210" s="2" t="s">
        <v>82</v>
      </c>
      <c r="J3210" s="2" t="s">
        <v>83</v>
      </c>
      <c r="K3210" s="2" t="s">
        <v>2138</v>
      </c>
      <c r="L3210" s="3">
        <v>0.35486111111111113</v>
      </c>
      <c r="M3210" s="2" t="s">
        <v>2191</v>
      </c>
      <c r="N3210" s="2" t="s">
        <v>500</v>
      </c>
      <c r="O3210" s="2"/>
    </row>
    <row r="3211" spans="1:15" x14ac:dyDescent="0.25">
      <c r="A3211" s="2" t="s">
        <v>15</v>
      </c>
      <c r="B3211" s="2" t="str">
        <f>"FES1162771575"</f>
        <v>FES1162771575</v>
      </c>
      <c r="C3211" s="2" t="s">
        <v>1969</v>
      </c>
      <c r="D3211" s="2">
        <v>1</v>
      </c>
      <c r="E3211" s="2" t="str">
        <f>"2170758621"</f>
        <v>2170758621</v>
      </c>
      <c r="F3211" s="2" t="s">
        <v>17</v>
      </c>
      <c r="G3211" s="2" t="s">
        <v>18</v>
      </c>
      <c r="H3211" s="2" t="s">
        <v>18</v>
      </c>
      <c r="I3211" s="2" t="s">
        <v>52</v>
      </c>
      <c r="J3211" s="2" t="s">
        <v>776</v>
      </c>
      <c r="K3211" s="2" t="s">
        <v>2138</v>
      </c>
      <c r="L3211" s="3">
        <v>0.30208333333333331</v>
      </c>
      <c r="M3211" s="2" t="s">
        <v>2192</v>
      </c>
      <c r="N3211" s="2" t="s">
        <v>500</v>
      </c>
      <c r="O3211" s="2"/>
    </row>
    <row r="3212" spans="1:15" x14ac:dyDescent="0.25">
      <c r="A3212" s="2" t="s">
        <v>15</v>
      </c>
      <c r="B3212" s="2" t="str">
        <f>"FES1162771570"</f>
        <v>FES1162771570</v>
      </c>
      <c r="C3212" s="2" t="s">
        <v>1969</v>
      </c>
      <c r="D3212" s="2">
        <v>1</v>
      </c>
      <c r="E3212" s="2" t="str">
        <f>"2170758357"</f>
        <v>2170758357</v>
      </c>
      <c r="F3212" s="2" t="s">
        <v>17</v>
      </c>
      <c r="G3212" s="2" t="s">
        <v>18</v>
      </c>
      <c r="H3212" s="2" t="s">
        <v>18</v>
      </c>
      <c r="I3212" s="2" t="s">
        <v>82</v>
      </c>
      <c r="J3212" s="2" t="s">
        <v>83</v>
      </c>
      <c r="K3212" s="2" t="s">
        <v>2138</v>
      </c>
      <c r="L3212" s="3">
        <v>0.35486111111111113</v>
      </c>
      <c r="M3212" s="2" t="s">
        <v>2191</v>
      </c>
      <c r="N3212" s="2" t="s">
        <v>500</v>
      </c>
      <c r="O3212" s="2"/>
    </row>
    <row r="3213" spans="1:15" x14ac:dyDescent="0.25">
      <c r="A3213" s="2" t="s">
        <v>15</v>
      </c>
      <c r="B3213" s="2" t="str">
        <f>"FES1162771569"</f>
        <v>FES1162771569</v>
      </c>
      <c r="C3213" s="2" t="s">
        <v>1969</v>
      </c>
      <c r="D3213" s="2">
        <v>1</v>
      </c>
      <c r="E3213" s="2" t="str">
        <f>"2170758080"</f>
        <v>2170758080</v>
      </c>
      <c r="F3213" s="2" t="s">
        <v>17</v>
      </c>
      <c r="G3213" s="2" t="s">
        <v>18</v>
      </c>
      <c r="H3213" s="2" t="s">
        <v>18</v>
      </c>
      <c r="I3213" s="2" t="s">
        <v>82</v>
      </c>
      <c r="J3213" s="2" t="s">
        <v>83</v>
      </c>
      <c r="K3213" s="2" t="s">
        <v>2138</v>
      </c>
      <c r="L3213" s="3">
        <v>0.35486111111111113</v>
      </c>
      <c r="M3213" s="2" t="s">
        <v>2191</v>
      </c>
      <c r="N3213" s="2" t="s">
        <v>500</v>
      </c>
      <c r="O3213" s="2"/>
    </row>
    <row r="3214" spans="1:15" x14ac:dyDescent="0.25">
      <c r="A3214" s="2" t="s">
        <v>15</v>
      </c>
      <c r="B3214" s="2" t="str">
        <f>"FES1162771629"</f>
        <v>FES1162771629</v>
      </c>
      <c r="C3214" s="2" t="s">
        <v>1969</v>
      </c>
      <c r="D3214" s="2">
        <v>1</v>
      </c>
      <c r="E3214" s="2" t="str">
        <f>"2170756605"</f>
        <v>2170756605</v>
      </c>
      <c r="F3214" s="2" t="s">
        <v>17</v>
      </c>
      <c r="G3214" s="2" t="s">
        <v>18</v>
      </c>
      <c r="H3214" s="2" t="s">
        <v>18</v>
      </c>
      <c r="I3214" s="2" t="s">
        <v>46</v>
      </c>
      <c r="J3214" s="2" t="s">
        <v>453</v>
      </c>
      <c r="K3214" s="2" t="s">
        <v>2138</v>
      </c>
      <c r="L3214" s="3">
        <v>0.4375</v>
      </c>
      <c r="M3214" s="2" t="s">
        <v>559</v>
      </c>
      <c r="N3214" s="2" t="s">
        <v>500</v>
      </c>
      <c r="O3214" s="2"/>
    </row>
    <row r="3215" spans="1:15" x14ac:dyDescent="0.25">
      <c r="A3215" s="2" t="s">
        <v>15</v>
      </c>
      <c r="B3215" s="2" t="str">
        <f>"FES1162771659"</f>
        <v>FES1162771659</v>
      </c>
      <c r="C3215" s="2" t="s">
        <v>1969</v>
      </c>
      <c r="D3215" s="2">
        <v>1</v>
      </c>
      <c r="E3215" s="2" t="str">
        <f>"2170758690"</f>
        <v>2170758690</v>
      </c>
      <c r="F3215" s="2" t="s">
        <v>17</v>
      </c>
      <c r="G3215" s="2" t="s">
        <v>18</v>
      </c>
      <c r="H3215" s="2" t="s">
        <v>25</v>
      </c>
      <c r="I3215" s="2" t="s">
        <v>1445</v>
      </c>
      <c r="J3215" s="2" t="s">
        <v>1750</v>
      </c>
      <c r="K3215" s="2" t="s">
        <v>2138</v>
      </c>
      <c r="L3215" s="3">
        <v>0.43194444444444446</v>
      </c>
      <c r="M3215" s="2" t="s">
        <v>2193</v>
      </c>
      <c r="N3215" s="2" t="s">
        <v>500</v>
      </c>
      <c r="O3215" s="2"/>
    </row>
    <row r="3216" spans="1:15" x14ac:dyDescent="0.25">
      <c r="A3216" s="2" t="s">
        <v>15</v>
      </c>
      <c r="B3216" s="2" t="str">
        <f>"FES1162771580"</f>
        <v>FES1162771580</v>
      </c>
      <c r="C3216" s="2" t="s">
        <v>1969</v>
      </c>
      <c r="D3216" s="2">
        <v>1</v>
      </c>
      <c r="E3216" s="2" t="str">
        <f>"2170757475"</f>
        <v>2170757475</v>
      </c>
      <c r="F3216" s="2" t="s">
        <v>17</v>
      </c>
      <c r="G3216" s="2" t="s">
        <v>18</v>
      </c>
      <c r="H3216" s="2" t="s">
        <v>36</v>
      </c>
      <c r="I3216" s="2" t="s">
        <v>134</v>
      </c>
      <c r="J3216" s="2" t="s">
        <v>135</v>
      </c>
      <c r="K3216" s="2" t="s">
        <v>2138</v>
      </c>
      <c r="L3216" s="3">
        <v>0.4375</v>
      </c>
      <c r="M3216" s="2" t="s">
        <v>1055</v>
      </c>
      <c r="N3216" s="2" t="s">
        <v>500</v>
      </c>
      <c r="O3216" s="2"/>
    </row>
    <row r="3217" spans="1:15" x14ac:dyDescent="0.25">
      <c r="A3217" s="2" t="s">
        <v>15</v>
      </c>
      <c r="B3217" s="2" t="str">
        <f>"FES1162771581"</f>
        <v>FES1162771581</v>
      </c>
      <c r="C3217" s="2" t="s">
        <v>1969</v>
      </c>
      <c r="D3217" s="2">
        <v>1</v>
      </c>
      <c r="E3217" s="2" t="str">
        <f>"2170757846"</f>
        <v>2170757846</v>
      </c>
      <c r="F3217" s="2" t="s">
        <v>17</v>
      </c>
      <c r="G3217" s="2" t="s">
        <v>18</v>
      </c>
      <c r="H3217" s="2" t="s">
        <v>36</v>
      </c>
      <c r="I3217" s="2" t="s">
        <v>37</v>
      </c>
      <c r="J3217" s="2" t="s">
        <v>272</v>
      </c>
      <c r="K3217" s="2" t="s">
        <v>2138</v>
      </c>
      <c r="L3217" s="3">
        <v>0.39583333333333331</v>
      </c>
      <c r="M3217" s="2" t="s">
        <v>273</v>
      </c>
      <c r="N3217" s="2" t="s">
        <v>500</v>
      </c>
      <c r="O3217" s="2"/>
    </row>
    <row r="3218" spans="1:15" x14ac:dyDescent="0.25">
      <c r="A3218" s="2" t="s">
        <v>15</v>
      </c>
      <c r="B3218" s="2" t="str">
        <f>"FES1162771639"</f>
        <v>FES1162771639</v>
      </c>
      <c r="C3218" s="2" t="s">
        <v>1969</v>
      </c>
      <c r="D3218" s="2">
        <v>1</v>
      </c>
      <c r="E3218" s="2" t="str">
        <f>"2170756083"</f>
        <v>2170756083</v>
      </c>
      <c r="F3218" s="2" t="s">
        <v>17</v>
      </c>
      <c r="G3218" s="2" t="s">
        <v>18</v>
      </c>
      <c r="H3218" s="2" t="s">
        <v>36</v>
      </c>
      <c r="I3218" s="2" t="s">
        <v>134</v>
      </c>
      <c r="J3218" s="2" t="s">
        <v>283</v>
      </c>
      <c r="K3218" s="2" t="s">
        <v>2138</v>
      </c>
      <c r="L3218" s="3">
        <v>0.4375</v>
      </c>
      <c r="M3218" s="2" t="s">
        <v>2165</v>
      </c>
      <c r="N3218" s="2" t="s">
        <v>500</v>
      </c>
      <c r="O3218" s="2"/>
    </row>
    <row r="3219" spans="1:15" x14ac:dyDescent="0.25">
      <c r="A3219" s="2" t="s">
        <v>15</v>
      </c>
      <c r="B3219" s="2" t="str">
        <f>"FES1162771582"</f>
        <v>FES1162771582</v>
      </c>
      <c r="C3219" s="2" t="s">
        <v>1969</v>
      </c>
      <c r="D3219" s="2">
        <v>1</v>
      </c>
      <c r="E3219" s="2" t="str">
        <f>"2170758281"</f>
        <v>2170758281</v>
      </c>
      <c r="F3219" s="2" t="s">
        <v>17</v>
      </c>
      <c r="G3219" s="2" t="s">
        <v>18</v>
      </c>
      <c r="H3219" s="2" t="s">
        <v>36</v>
      </c>
      <c r="I3219" s="2" t="s">
        <v>37</v>
      </c>
      <c r="J3219" s="2" t="s">
        <v>1960</v>
      </c>
      <c r="K3219" s="2" t="s">
        <v>2138</v>
      </c>
      <c r="L3219" s="3">
        <v>0.40069444444444446</v>
      </c>
      <c r="M3219" s="2" t="s">
        <v>2187</v>
      </c>
      <c r="N3219" s="2" t="s">
        <v>500</v>
      </c>
      <c r="O3219" s="2"/>
    </row>
    <row r="3220" spans="1:15" x14ac:dyDescent="0.25">
      <c r="A3220" s="2" t="s">
        <v>15</v>
      </c>
      <c r="B3220" s="2" t="str">
        <f>"FES1162771624"</f>
        <v>FES1162771624</v>
      </c>
      <c r="C3220" s="2" t="s">
        <v>1969</v>
      </c>
      <c r="D3220" s="2">
        <v>1</v>
      </c>
      <c r="E3220" s="2" t="str">
        <f>"2170758667"</f>
        <v>2170758667</v>
      </c>
      <c r="F3220" s="2" t="s">
        <v>17</v>
      </c>
      <c r="G3220" s="2" t="s">
        <v>18</v>
      </c>
      <c r="H3220" s="2" t="s">
        <v>36</v>
      </c>
      <c r="I3220" s="2" t="s">
        <v>37</v>
      </c>
      <c r="J3220" s="2" t="s">
        <v>869</v>
      </c>
      <c r="K3220" s="2" t="s">
        <v>2138</v>
      </c>
      <c r="L3220" s="3">
        <v>0.36527777777777781</v>
      </c>
      <c r="M3220" s="2" t="s">
        <v>2171</v>
      </c>
      <c r="N3220" s="2" t="s">
        <v>500</v>
      </c>
      <c r="O3220" s="2"/>
    </row>
    <row r="3221" spans="1:15" x14ac:dyDescent="0.25">
      <c r="A3221" s="2" t="s">
        <v>15</v>
      </c>
      <c r="B3221" s="2" t="str">
        <f>"FES1162771579"</f>
        <v>FES1162771579</v>
      </c>
      <c r="C3221" s="2" t="s">
        <v>1969</v>
      </c>
      <c r="D3221" s="2">
        <v>1</v>
      </c>
      <c r="E3221" s="2" t="str">
        <f>"2170756310"</f>
        <v>2170756310</v>
      </c>
      <c r="F3221" s="2" t="s">
        <v>17</v>
      </c>
      <c r="G3221" s="2" t="s">
        <v>18</v>
      </c>
      <c r="H3221" s="2" t="s">
        <v>36</v>
      </c>
      <c r="I3221" s="2" t="s">
        <v>37</v>
      </c>
      <c r="J3221" s="2" t="s">
        <v>102</v>
      </c>
      <c r="K3221" s="2" t="s">
        <v>2138</v>
      </c>
      <c r="L3221" s="3">
        <v>0.43333333333333335</v>
      </c>
      <c r="M3221" s="2" t="s">
        <v>2194</v>
      </c>
      <c r="N3221" s="2" t="s">
        <v>500</v>
      </c>
      <c r="O3221" s="2"/>
    </row>
    <row r="3222" spans="1:15" x14ac:dyDescent="0.25">
      <c r="A3222" s="2" t="s">
        <v>15</v>
      </c>
      <c r="B3222" s="2" t="str">
        <f>"FES1162771658"</f>
        <v>FES1162771658</v>
      </c>
      <c r="C3222" s="2" t="s">
        <v>1969</v>
      </c>
      <c r="D3222" s="2">
        <v>1</v>
      </c>
      <c r="E3222" s="2" t="str">
        <f>"2170758671"</f>
        <v>2170758671</v>
      </c>
      <c r="F3222" s="2" t="s">
        <v>17</v>
      </c>
      <c r="G3222" s="2" t="s">
        <v>18</v>
      </c>
      <c r="H3222" s="2" t="s">
        <v>88</v>
      </c>
      <c r="I3222" s="2" t="s">
        <v>109</v>
      </c>
      <c r="J3222" s="2" t="s">
        <v>155</v>
      </c>
      <c r="K3222" s="2" t="s">
        <v>2138</v>
      </c>
      <c r="L3222" s="3">
        <v>0.40486111111111112</v>
      </c>
      <c r="M3222" s="2" t="s">
        <v>251</v>
      </c>
      <c r="N3222" s="2" t="s">
        <v>500</v>
      </c>
      <c r="O3222" s="2"/>
    </row>
    <row r="3223" spans="1:15" x14ac:dyDescent="0.25">
      <c r="A3223" s="5" t="s">
        <v>15</v>
      </c>
      <c r="B3223" s="5" t="str">
        <f>"FES1162771657"</f>
        <v>FES1162771657</v>
      </c>
      <c r="C3223" s="5" t="s">
        <v>1969</v>
      </c>
      <c r="D3223" s="5">
        <v>1</v>
      </c>
      <c r="E3223" s="5" t="str">
        <f>"2170758697"</f>
        <v>2170758697</v>
      </c>
      <c r="F3223" s="5" t="s">
        <v>17</v>
      </c>
      <c r="G3223" s="5" t="s">
        <v>18</v>
      </c>
      <c r="H3223" s="5" t="s">
        <v>1433</v>
      </c>
      <c r="I3223" s="5" t="s">
        <v>1434</v>
      </c>
      <c r="J3223" s="5" t="s">
        <v>2154</v>
      </c>
      <c r="K3223" s="5" t="s">
        <v>2282</v>
      </c>
      <c r="L3223" s="9">
        <v>0.40138888888888885</v>
      </c>
      <c r="M3223" s="5" t="s">
        <v>2377</v>
      </c>
      <c r="N3223" s="5" t="s">
        <v>500</v>
      </c>
      <c r="O3223" s="5"/>
    </row>
    <row r="3224" spans="1:15" x14ac:dyDescent="0.25">
      <c r="A3224" s="5" t="s">
        <v>15</v>
      </c>
      <c r="B3224" s="5" t="str">
        <f>"FES1162771656"</f>
        <v>FES1162771656</v>
      </c>
      <c r="C3224" s="5" t="s">
        <v>1969</v>
      </c>
      <c r="D3224" s="5">
        <v>1</v>
      </c>
      <c r="E3224" s="5" t="str">
        <f>"2170758686"</f>
        <v>2170758686</v>
      </c>
      <c r="F3224" s="5" t="s">
        <v>17</v>
      </c>
      <c r="G3224" s="5" t="s">
        <v>18</v>
      </c>
      <c r="H3224" s="5" t="s">
        <v>25</v>
      </c>
      <c r="I3224" s="5" t="s">
        <v>26</v>
      </c>
      <c r="J3224" s="5" t="s">
        <v>75</v>
      </c>
      <c r="K3224" s="5" t="s">
        <v>2138</v>
      </c>
      <c r="L3224" s="9">
        <v>0.3298611111111111</v>
      </c>
      <c r="M3224" s="5" t="s">
        <v>518</v>
      </c>
      <c r="N3224" s="5" t="s">
        <v>500</v>
      </c>
      <c r="O3224" s="5"/>
    </row>
    <row r="3225" spans="1:15" x14ac:dyDescent="0.25">
      <c r="A3225" s="2" t="s">
        <v>15</v>
      </c>
      <c r="B3225" s="2" t="str">
        <f>"FES1162771666"</f>
        <v>FES1162771666</v>
      </c>
      <c r="C3225" s="2" t="s">
        <v>1969</v>
      </c>
      <c r="D3225" s="2">
        <v>1</v>
      </c>
      <c r="E3225" s="2" t="str">
        <f>"2170758312"</f>
        <v>2170758312</v>
      </c>
      <c r="F3225" s="2" t="s">
        <v>17</v>
      </c>
      <c r="G3225" s="2" t="s">
        <v>18</v>
      </c>
      <c r="H3225" s="2" t="s">
        <v>25</v>
      </c>
      <c r="I3225" s="2" t="s">
        <v>26</v>
      </c>
      <c r="J3225" s="2" t="s">
        <v>75</v>
      </c>
      <c r="K3225" s="2" t="s">
        <v>2138</v>
      </c>
      <c r="L3225" s="3">
        <v>0.3298611111111111</v>
      </c>
      <c r="M3225" s="2" t="s">
        <v>518</v>
      </c>
      <c r="N3225" s="2" t="s">
        <v>500</v>
      </c>
      <c r="O3225" s="2"/>
    </row>
    <row r="3226" spans="1:15" x14ac:dyDescent="0.25">
      <c r="A3226" s="2" t="s">
        <v>15</v>
      </c>
      <c r="B3226" s="2" t="str">
        <f>"FES1162771642"</f>
        <v>FES1162771642</v>
      </c>
      <c r="C3226" s="2" t="s">
        <v>1969</v>
      </c>
      <c r="D3226" s="2">
        <v>1</v>
      </c>
      <c r="E3226" s="2" t="str">
        <f>"2170756376"</f>
        <v>2170756376</v>
      </c>
      <c r="F3226" s="2" t="s">
        <v>17</v>
      </c>
      <c r="G3226" s="2" t="s">
        <v>18</v>
      </c>
      <c r="H3226" s="2" t="s">
        <v>18</v>
      </c>
      <c r="I3226" s="2" t="s">
        <v>57</v>
      </c>
      <c r="J3226" s="2" t="s">
        <v>903</v>
      </c>
      <c r="K3226" s="2" t="s">
        <v>2138</v>
      </c>
      <c r="L3226" s="3">
        <v>0.33333333333333331</v>
      </c>
      <c r="M3226" s="2" t="s">
        <v>1842</v>
      </c>
      <c r="N3226" s="2" t="s">
        <v>500</v>
      </c>
      <c r="O3226" s="2"/>
    </row>
    <row r="3227" spans="1:15" x14ac:dyDescent="0.25">
      <c r="A3227" s="2" t="s">
        <v>15</v>
      </c>
      <c r="B3227" s="2" t="str">
        <f>"FES1162771662"</f>
        <v>FES1162771662</v>
      </c>
      <c r="C3227" s="2" t="s">
        <v>1969</v>
      </c>
      <c r="D3227" s="2">
        <v>1</v>
      </c>
      <c r="E3227" s="2" t="str">
        <f>"2170756343"</f>
        <v>2170756343</v>
      </c>
      <c r="F3227" s="2" t="s">
        <v>17</v>
      </c>
      <c r="G3227" s="2" t="s">
        <v>18</v>
      </c>
      <c r="H3227" s="2" t="s">
        <v>19</v>
      </c>
      <c r="I3227" s="2" t="s">
        <v>111</v>
      </c>
      <c r="J3227" s="2" t="s">
        <v>1741</v>
      </c>
      <c r="K3227" s="2" t="s">
        <v>2138</v>
      </c>
      <c r="L3227" s="3">
        <v>0.3611111111111111</v>
      </c>
      <c r="M3227" s="2" t="s">
        <v>2195</v>
      </c>
      <c r="N3227" s="2" t="s">
        <v>500</v>
      </c>
      <c r="O3227" s="2"/>
    </row>
    <row r="3228" spans="1:15" x14ac:dyDescent="0.25">
      <c r="A3228" s="2" t="s">
        <v>15</v>
      </c>
      <c r="B3228" s="2" t="str">
        <f>"FES1162771650"</f>
        <v>FES1162771650</v>
      </c>
      <c r="C3228" s="2" t="s">
        <v>1969</v>
      </c>
      <c r="D3228" s="2">
        <v>1</v>
      </c>
      <c r="E3228" s="2" t="str">
        <f>"2170758684"</f>
        <v>2170758684</v>
      </c>
      <c r="F3228" s="2" t="s">
        <v>17</v>
      </c>
      <c r="G3228" s="2" t="s">
        <v>18</v>
      </c>
      <c r="H3228" s="2" t="s">
        <v>18</v>
      </c>
      <c r="I3228" s="2" t="s">
        <v>46</v>
      </c>
      <c r="J3228" s="2" t="s">
        <v>59</v>
      </c>
      <c r="K3228" s="2" t="s">
        <v>2138</v>
      </c>
      <c r="L3228" s="3">
        <v>0.4375</v>
      </c>
      <c r="M3228" s="2" t="s">
        <v>823</v>
      </c>
      <c r="N3228" s="2" t="s">
        <v>500</v>
      </c>
      <c r="O3228" s="2"/>
    </row>
    <row r="3229" spans="1:15" x14ac:dyDescent="0.25">
      <c r="A3229" s="2" t="s">
        <v>15</v>
      </c>
      <c r="B3229" s="2" t="str">
        <f>"FES1162771652"</f>
        <v>FES1162771652</v>
      </c>
      <c r="C3229" s="2" t="s">
        <v>1969</v>
      </c>
      <c r="D3229" s="2">
        <v>1</v>
      </c>
      <c r="E3229" s="2" t="str">
        <f>"2170758686"</f>
        <v>2170758686</v>
      </c>
      <c r="F3229" s="2" t="s">
        <v>17</v>
      </c>
      <c r="G3229" s="2" t="s">
        <v>18</v>
      </c>
      <c r="H3229" s="2" t="s">
        <v>18</v>
      </c>
      <c r="I3229" s="2" t="s">
        <v>50</v>
      </c>
      <c r="J3229" s="2" t="s">
        <v>51</v>
      </c>
      <c r="K3229" s="2" t="s">
        <v>2138</v>
      </c>
      <c r="L3229" s="3">
        <v>0.4375</v>
      </c>
      <c r="M3229" s="2" t="s">
        <v>213</v>
      </c>
      <c r="N3229" s="2" t="s">
        <v>500</v>
      </c>
      <c r="O3229" s="2"/>
    </row>
    <row r="3230" spans="1:15" x14ac:dyDescent="0.25">
      <c r="A3230" s="2" t="s">
        <v>15</v>
      </c>
      <c r="B3230" s="2" t="str">
        <f>"FES1162771640"</f>
        <v>FES1162771640</v>
      </c>
      <c r="C3230" s="2" t="s">
        <v>1969</v>
      </c>
      <c r="D3230" s="2">
        <v>1</v>
      </c>
      <c r="E3230" s="2" t="str">
        <f>"2170758681"</f>
        <v>2170758681</v>
      </c>
      <c r="F3230" s="2" t="s">
        <v>17</v>
      </c>
      <c r="G3230" s="2" t="s">
        <v>18</v>
      </c>
      <c r="H3230" s="2" t="s">
        <v>18</v>
      </c>
      <c r="I3230" s="2" t="s">
        <v>478</v>
      </c>
      <c r="J3230" s="2" t="s">
        <v>498</v>
      </c>
      <c r="K3230" s="2" t="s">
        <v>2138</v>
      </c>
      <c r="L3230" s="3">
        <v>0.36805555555555558</v>
      </c>
      <c r="M3230" s="2" t="s">
        <v>810</v>
      </c>
      <c r="N3230" s="2" t="s">
        <v>500</v>
      </c>
      <c r="O3230" s="2"/>
    </row>
    <row r="3231" spans="1:15" x14ac:dyDescent="0.25">
      <c r="A3231" s="2" t="s">
        <v>15</v>
      </c>
      <c r="B3231" s="2" t="str">
        <f>"FES1162771661"</f>
        <v>FES1162771661</v>
      </c>
      <c r="C3231" s="2" t="s">
        <v>1969</v>
      </c>
      <c r="D3231" s="2">
        <v>1</v>
      </c>
      <c r="E3231" s="2" t="str">
        <f>"2170756041"</f>
        <v>2170756041</v>
      </c>
      <c r="F3231" s="2" t="s">
        <v>17</v>
      </c>
      <c r="G3231" s="2" t="s">
        <v>18</v>
      </c>
      <c r="H3231" s="2" t="s">
        <v>18</v>
      </c>
      <c r="I3231" s="2" t="s">
        <v>63</v>
      </c>
      <c r="J3231" s="2" t="s">
        <v>421</v>
      </c>
      <c r="K3231" s="2" t="s">
        <v>2138</v>
      </c>
      <c r="L3231" s="3">
        <v>0.35069444444444442</v>
      </c>
      <c r="M3231" s="2" t="s">
        <v>358</v>
      </c>
      <c r="N3231" s="2" t="s">
        <v>500</v>
      </c>
      <c r="O3231" s="2"/>
    </row>
    <row r="3232" spans="1:15" x14ac:dyDescent="0.25">
      <c r="A3232" s="2" t="s">
        <v>15</v>
      </c>
      <c r="B3232" s="2" t="str">
        <f>"FES1162771625"</f>
        <v>FES1162771625</v>
      </c>
      <c r="C3232" s="2" t="s">
        <v>1969</v>
      </c>
      <c r="D3232" s="2">
        <v>1</v>
      </c>
      <c r="E3232" s="2" t="str">
        <f>"2170758668"</f>
        <v>2170758668</v>
      </c>
      <c r="F3232" s="2" t="s">
        <v>17</v>
      </c>
      <c r="G3232" s="2" t="s">
        <v>18</v>
      </c>
      <c r="H3232" s="2" t="s">
        <v>18</v>
      </c>
      <c r="I3232" s="2" t="s">
        <v>63</v>
      </c>
      <c r="J3232" s="2" t="s">
        <v>2155</v>
      </c>
      <c r="K3232" s="2" t="s">
        <v>2138</v>
      </c>
      <c r="L3232" s="3">
        <v>0.4375</v>
      </c>
      <c r="M3232" s="2" t="s">
        <v>559</v>
      </c>
      <c r="N3232" s="2" t="s">
        <v>500</v>
      </c>
      <c r="O3232" s="2"/>
    </row>
    <row r="3233" spans="1:15" x14ac:dyDescent="0.25">
      <c r="A3233" s="2" t="s">
        <v>15</v>
      </c>
      <c r="B3233" s="2" t="str">
        <f>"FES1162771660"</f>
        <v>FES1162771660</v>
      </c>
      <c r="C3233" s="2" t="s">
        <v>1969</v>
      </c>
      <c r="D3233" s="2">
        <v>1</v>
      </c>
      <c r="E3233" s="2" t="str">
        <f>"2170758698"</f>
        <v>2170758698</v>
      </c>
      <c r="F3233" s="2" t="s">
        <v>17</v>
      </c>
      <c r="G3233" s="2" t="s">
        <v>18</v>
      </c>
      <c r="H3233" s="2" t="s">
        <v>19</v>
      </c>
      <c r="I3233" s="2" t="s">
        <v>269</v>
      </c>
      <c r="J3233" s="2" t="s">
        <v>655</v>
      </c>
      <c r="K3233" s="2" t="s">
        <v>2138</v>
      </c>
      <c r="L3233" s="3">
        <v>0.42083333333333334</v>
      </c>
      <c r="M3233" s="2" t="s">
        <v>2002</v>
      </c>
      <c r="N3233" s="2" t="s">
        <v>500</v>
      </c>
      <c r="O3233" s="2"/>
    </row>
    <row r="3234" spans="1:15" x14ac:dyDescent="0.25">
      <c r="A3234" s="2" t="s">
        <v>15</v>
      </c>
      <c r="B3234" s="2" t="str">
        <f>"FES1162771665"</f>
        <v>FES1162771665</v>
      </c>
      <c r="C3234" s="2" t="s">
        <v>1969</v>
      </c>
      <c r="D3234" s="2">
        <v>1</v>
      </c>
      <c r="E3234" s="2" t="str">
        <f>"2170758696"</f>
        <v>2170758696</v>
      </c>
      <c r="F3234" s="2" t="s">
        <v>17</v>
      </c>
      <c r="G3234" s="2" t="s">
        <v>18</v>
      </c>
      <c r="H3234" s="2" t="s">
        <v>30</v>
      </c>
      <c r="I3234" s="2" t="s">
        <v>31</v>
      </c>
      <c r="J3234" s="2" t="s">
        <v>32</v>
      </c>
      <c r="K3234" s="2" t="s">
        <v>2138</v>
      </c>
      <c r="L3234" s="3">
        <v>0.58680555555555558</v>
      </c>
      <c r="M3234" s="2" t="s">
        <v>2196</v>
      </c>
      <c r="N3234" s="2" t="s">
        <v>500</v>
      </c>
      <c r="O3234" s="2"/>
    </row>
    <row r="3235" spans="1:15" x14ac:dyDescent="0.25">
      <c r="A3235" s="2" t="s">
        <v>15</v>
      </c>
      <c r="B3235" s="2" t="str">
        <f>"FES1162771649"</f>
        <v>FES1162771649</v>
      </c>
      <c r="C3235" s="2" t="s">
        <v>1969</v>
      </c>
      <c r="D3235" s="2">
        <v>1</v>
      </c>
      <c r="E3235" s="2" t="str">
        <f>"2170758683"</f>
        <v>2170758683</v>
      </c>
      <c r="F3235" s="2" t="s">
        <v>17</v>
      </c>
      <c r="G3235" s="2" t="s">
        <v>18</v>
      </c>
      <c r="H3235" s="2" t="s">
        <v>78</v>
      </c>
      <c r="I3235" s="2" t="s">
        <v>79</v>
      </c>
      <c r="J3235" s="2" t="s">
        <v>81</v>
      </c>
      <c r="K3235" s="2" t="s">
        <v>2197</v>
      </c>
      <c r="L3235" s="3">
        <v>0.375</v>
      </c>
      <c r="M3235" s="2" t="s">
        <v>1010</v>
      </c>
      <c r="N3235" s="2" t="s">
        <v>500</v>
      </c>
      <c r="O3235" s="2"/>
    </row>
    <row r="3236" spans="1:15" x14ac:dyDescent="0.25">
      <c r="A3236" s="2" t="s">
        <v>15</v>
      </c>
      <c r="B3236" s="2" t="str">
        <f>"FES1162771627"</f>
        <v>FES1162771627</v>
      </c>
      <c r="C3236" s="2" t="s">
        <v>1969</v>
      </c>
      <c r="D3236" s="2">
        <v>1</v>
      </c>
      <c r="E3236" s="2" t="str">
        <f>"2170758673"</f>
        <v>2170758673</v>
      </c>
      <c r="F3236" s="2" t="s">
        <v>17</v>
      </c>
      <c r="G3236" s="2" t="s">
        <v>18</v>
      </c>
      <c r="H3236" s="2" t="s">
        <v>18</v>
      </c>
      <c r="I3236" s="2" t="s">
        <v>116</v>
      </c>
      <c r="J3236" s="2" t="s">
        <v>2067</v>
      </c>
      <c r="K3236" s="2" t="s">
        <v>2138</v>
      </c>
      <c r="L3236" s="3">
        <v>0.43055555555555558</v>
      </c>
      <c r="M3236" s="2" t="s">
        <v>2198</v>
      </c>
      <c r="N3236" s="2" t="s">
        <v>500</v>
      </c>
      <c r="O3236" s="2"/>
    </row>
    <row r="3237" spans="1:15" x14ac:dyDescent="0.25">
      <c r="A3237" s="2" t="s">
        <v>15</v>
      </c>
      <c r="B3237" s="2" t="str">
        <f>"FES1162771645"</f>
        <v>FES1162771645</v>
      </c>
      <c r="C3237" s="2" t="s">
        <v>1969</v>
      </c>
      <c r="D3237" s="2">
        <v>1</v>
      </c>
      <c r="E3237" s="2" t="str">
        <f>"2170757957"</f>
        <v>2170757957</v>
      </c>
      <c r="F3237" s="2" t="s">
        <v>17</v>
      </c>
      <c r="G3237" s="2" t="s">
        <v>18</v>
      </c>
      <c r="H3237" s="2" t="s">
        <v>25</v>
      </c>
      <c r="I3237" s="2" t="s">
        <v>26</v>
      </c>
      <c r="J3237" s="2" t="s">
        <v>127</v>
      </c>
      <c r="K3237" s="2" t="s">
        <v>2138</v>
      </c>
      <c r="L3237" s="3">
        <v>0.40486111111111112</v>
      </c>
      <c r="M3237" s="2" t="s">
        <v>1209</v>
      </c>
      <c r="N3237" s="2" t="s">
        <v>500</v>
      </c>
      <c r="O3237" s="2"/>
    </row>
    <row r="3238" spans="1:15" x14ac:dyDescent="0.25">
      <c r="A3238" s="2" t="s">
        <v>15</v>
      </c>
      <c r="B3238" s="2" t="str">
        <f>"FES1162771648"</f>
        <v>FES1162771648</v>
      </c>
      <c r="C3238" s="2" t="s">
        <v>1969</v>
      </c>
      <c r="D3238" s="2">
        <v>1</v>
      </c>
      <c r="E3238" s="2" t="str">
        <f>"2170758429"</f>
        <v>2170758429</v>
      </c>
      <c r="F3238" s="2" t="s">
        <v>17</v>
      </c>
      <c r="G3238" s="2" t="s">
        <v>18</v>
      </c>
      <c r="H3238" s="2" t="s">
        <v>88</v>
      </c>
      <c r="I3238" s="2" t="s">
        <v>109</v>
      </c>
      <c r="J3238" s="2" t="s">
        <v>141</v>
      </c>
      <c r="K3238" s="2" t="s">
        <v>2138</v>
      </c>
      <c r="L3238" s="3">
        <v>0.34791666666666665</v>
      </c>
      <c r="M3238" s="2" t="s">
        <v>172</v>
      </c>
      <c r="N3238" s="2" t="s">
        <v>500</v>
      </c>
      <c r="O3238" s="2"/>
    </row>
    <row r="3239" spans="1:15" x14ac:dyDescent="0.25">
      <c r="A3239" s="2" t="s">
        <v>15</v>
      </c>
      <c r="B3239" s="2" t="str">
        <f>"FES1162771655"</f>
        <v>FES1162771655</v>
      </c>
      <c r="C3239" s="2" t="s">
        <v>1969</v>
      </c>
      <c r="D3239" s="2">
        <v>1</v>
      </c>
      <c r="E3239" s="2" t="str">
        <f>"2170758694"</f>
        <v>2170758694</v>
      </c>
      <c r="F3239" s="2" t="s">
        <v>17</v>
      </c>
      <c r="G3239" s="2" t="s">
        <v>18</v>
      </c>
      <c r="H3239" s="2" t="s">
        <v>25</v>
      </c>
      <c r="I3239" s="2" t="s">
        <v>26</v>
      </c>
      <c r="J3239" s="2" t="s">
        <v>622</v>
      </c>
      <c r="K3239" s="2" t="s">
        <v>2138</v>
      </c>
      <c r="L3239" s="3">
        <v>0.37222222222222223</v>
      </c>
      <c r="M3239" s="2" t="s">
        <v>1157</v>
      </c>
      <c r="N3239" s="2" t="s">
        <v>500</v>
      </c>
      <c r="O3239" s="2"/>
    </row>
    <row r="3240" spans="1:15" x14ac:dyDescent="0.25">
      <c r="A3240" s="2" t="s">
        <v>15</v>
      </c>
      <c r="B3240" s="2" t="str">
        <f>"FES1162771653"</f>
        <v>FES1162771653</v>
      </c>
      <c r="C3240" s="2" t="s">
        <v>1969</v>
      </c>
      <c r="D3240" s="2">
        <v>1</v>
      </c>
      <c r="E3240" s="2" t="str">
        <f>"2170758691"</f>
        <v>2170758691</v>
      </c>
      <c r="F3240" s="2" t="s">
        <v>17</v>
      </c>
      <c r="G3240" s="2" t="s">
        <v>18</v>
      </c>
      <c r="H3240" s="2" t="s">
        <v>25</v>
      </c>
      <c r="I3240" s="2" t="s">
        <v>345</v>
      </c>
      <c r="J3240" s="2" t="s">
        <v>346</v>
      </c>
      <c r="K3240" s="2" t="s">
        <v>2197</v>
      </c>
      <c r="L3240" s="3">
        <v>0.34722222222222227</v>
      </c>
      <c r="M3240" s="2" t="s">
        <v>2240</v>
      </c>
      <c r="N3240" s="2" t="s">
        <v>500</v>
      </c>
      <c r="O3240" s="2"/>
    </row>
    <row r="3241" spans="1:15" x14ac:dyDescent="0.25">
      <c r="A3241" s="2" t="s">
        <v>15</v>
      </c>
      <c r="B3241" s="2" t="str">
        <f>"FES1162771644"</f>
        <v>FES1162771644</v>
      </c>
      <c r="C3241" s="2" t="s">
        <v>1969</v>
      </c>
      <c r="D3241" s="2">
        <v>1</v>
      </c>
      <c r="E3241" s="2" t="str">
        <f>"2170756262"</f>
        <v>2170756262</v>
      </c>
      <c r="F3241" s="2" t="s">
        <v>17</v>
      </c>
      <c r="G3241" s="2" t="s">
        <v>18</v>
      </c>
      <c r="H3241" s="2" t="s">
        <v>25</v>
      </c>
      <c r="I3241" s="2" t="s">
        <v>26</v>
      </c>
      <c r="J3241" s="2" t="s">
        <v>75</v>
      </c>
      <c r="K3241" s="2" t="s">
        <v>2138</v>
      </c>
      <c r="L3241" s="3">
        <v>0.32916666666666666</v>
      </c>
      <c r="M3241" s="2" t="s">
        <v>518</v>
      </c>
      <c r="N3241" s="2" t="s">
        <v>500</v>
      </c>
      <c r="O3241" s="2"/>
    </row>
    <row r="3242" spans="1:15" x14ac:dyDescent="0.25">
      <c r="A3242" s="2" t="s">
        <v>15</v>
      </c>
      <c r="B3242" s="2" t="str">
        <f>"FES1162771647"</f>
        <v>FES1162771647</v>
      </c>
      <c r="C3242" s="2" t="s">
        <v>1969</v>
      </c>
      <c r="D3242" s="2">
        <v>1</v>
      </c>
      <c r="E3242" s="2" t="str">
        <f>"2170758407"</f>
        <v>2170758407</v>
      </c>
      <c r="F3242" s="2" t="s">
        <v>17</v>
      </c>
      <c r="G3242" s="2" t="s">
        <v>18</v>
      </c>
      <c r="H3242" s="2" t="s">
        <v>19</v>
      </c>
      <c r="I3242" s="2" t="s">
        <v>20</v>
      </c>
      <c r="J3242" s="2" t="s">
        <v>606</v>
      </c>
      <c r="K3242" s="2" t="s">
        <v>2138</v>
      </c>
      <c r="L3242" s="3">
        <v>0.63194444444444442</v>
      </c>
      <c r="M3242" s="2" t="s">
        <v>2086</v>
      </c>
      <c r="N3242" s="2" t="s">
        <v>500</v>
      </c>
      <c r="O3242" s="2"/>
    </row>
    <row r="3243" spans="1:15" x14ac:dyDescent="0.25">
      <c r="A3243" s="2" t="s">
        <v>15</v>
      </c>
      <c r="B3243" s="2" t="str">
        <f>"FES1162771651"</f>
        <v>FES1162771651</v>
      </c>
      <c r="C3243" s="2" t="s">
        <v>1969</v>
      </c>
      <c r="D3243" s="2">
        <v>1</v>
      </c>
      <c r="E3243" s="2" t="str">
        <f>"2170758685"</f>
        <v>2170758685</v>
      </c>
      <c r="F3243" s="2" t="s">
        <v>17</v>
      </c>
      <c r="G3243" s="2" t="s">
        <v>18</v>
      </c>
      <c r="H3243" s="2" t="s">
        <v>25</v>
      </c>
      <c r="I3243" s="2" t="s">
        <v>26</v>
      </c>
      <c r="J3243" s="2" t="s">
        <v>757</v>
      </c>
      <c r="K3243" s="2" t="s">
        <v>2197</v>
      </c>
      <c r="L3243" s="3">
        <v>0.32361111111111113</v>
      </c>
      <c r="M3243" s="2" t="s">
        <v>1154</v>
      </c>
      <c r="N3243" s="2" t="s">
        <v>500</v>
      </c>
      <c r="O3243" s="2"/>
    </row>
    <row r="3244" spans="1:15" x14ac:dyDescent="0.25">
      <c r="A3244" s="2" t="s">
        <v>15</v>
      </c>
      <c r="B3244" s="2" t="str">
        <f>"FES1162771668"</f>
        <v>FES1162771668</v>
      </c>
      <c r="C3244" s="2" t="s">
        <v>1969</v>
      </c>
      <c r="D3244" s="2">
        <v>1</v>
      </c>
      <c r="E3244" s="2" t="str">
        <f>"2170758700"</f>
        <v>2170758700</v>
      </c>
      <c r="F3244" s="2" t="s">
        <v>17</v>
      </c>
      <c r="G3244" s="2" t="s">
        <v>18</v>
      </c>
      <c r="H3244" s="2" t="s">
        <v>206</v>
      </c>
      <c r="I3244" s="2" t="s">
        <v>46</v>
      </c>
      <c r="J3244" s="2" t="s">
        <v>115</v>
      </c>
      <c r="K3244" s="2" t="s">
        <v>2138</v>
      </c>
      <c r="L3244" s="3">
        <v>0.35486111111111113</v>
      </c>
      <c r="M3244" s="2" t="s">
        <v>2199</v>
      </c>
      <c r="N3244" s="2" t="s">
        <v>500</v>
      </c>
      <c r="O3244" s="2"/>
    </row>
    <row r="3245" spans="1:15" x14ac:dyDescent="0.25">
      <c r="A3245" s="2" t="s">
        <v>15</v>
      </c>
      <c r="B3245" s="2" t="str">
        <f>"FES1162771669"</f>
        <v>FES1162771669</v>
      </c>
      <c r="C3245" s="2" t="s">
        <v>1969</v>
      </c>
      <c r="D3245" s="2">
        <v>1</v>
      </c>
      <c r="E3245" s="2" t="str">
        <f>"2170758701"</f>
        <v>2170758701</v>
      </c>
      <c r="F3245" s="2" t="s">
        <v>17</v>
      </c>
      <c r="G3245" s="2" t="s">
        <v>18</v>
      </c>
      <c r="H3245" s="2" t="s">
        <v>18</v>
      </c>
      <c r="I3245" s="2" t="s">
        <v>46</v>
      </c>
      <c r="J3245" s="2" t="s">
        <v>59</v>
      </c>
      <c r="K3245" s="2" t="s">
        <v>2138</v>
      </c>
      <c r="L3245" s="3">
        <v>0.4375</v>
      </c>
      <c r="M3245" s="2" t="s">
        <v>823</v>
      </c>
      <c r="N3245" s="2" t="s">
        <v>500</v>
      </c>
      <c r="O3245" s="2"/>
    </row>
    <row r="3246" spans="1:15" x14ac:dyDescent="0.25">
      <c r="A3246" s="2" t="s">
        <v>15</v>
      </c>
      <c r="B3246" s="2" t="str">
        <f>"FES1162771637"</f>
        <v>FES1162771637</v>
      </c>
      <c r="C3246" s="2" t="s">
        <v>1969</v>
      </c>
      <c r="D3246" s="2">
        <v>1</v>
      </c>
      <c r="E3246" s="2" t="str">
        <f>"2170758680"</f>
        <v>2170758680</v>
      </c>
      <c r="F3246" s="2" t="s">
        <v>205</v>
      </c>
      <c r="G3246" s="2" t="s">
        <v>206</v>
      </c>
      <c r="H3246" s="2" t="s">
        <v>206</v>
      </c>
      <c r="I3246" s="2" t="s">
        <v>63</v>
      </c>
      <c r="J3246" s="2" t="s">
        <v>93</v>
      </c>
      <c r="K3246" s="2" t="s">
        <v>2138</v>
      </c>
      <c r="L3246" s="3">
        <v>0.40277777777777773</v>
      </c>
      <c r="M3246" s="2" t="s">
        <v>210</v>
      </c>
      <c r="N3246" s="2" t="s">
        <v>500</v>
      </c>
      <c r="O3246" s="2"/>
    </row>
    <row r="3247" spans="1:15" x14ac:dyDescent="0.25">
      <c r="A3247" s="2" t="s">
        <v>15</v>
      </c>
      <c r="B3247" s="2" t="str">
        <f>"FES1162771646"</f>
        <v>FES1162771646</v>
      </c>
      <c r="C3247" s="2" t="s">
        <v>1969</v>
      </c>
      <c r="D3247" s="2">
        <v>1</v>
      </c>
      <c r="E3247" s="2" t="str">
        <f>"2170758071"</f>
        <v>2170758071</v>
      </c>
      <c r="F3247" s="2" t="s">
        <v>17</v>
      </c>
      <c r="G3247" s="2" t="s">
        <v>18</v>
      </c>
      <c r="H3247" s="2" t="s">
        <v>18</v>
      </c>
      <c r="I3247" s="2" t="s">
        <v>157</v>
      </c>
      <c r="J3247" s="2" t="s">
        <v>158</v>
      </c>
      <c r="K3247" s="2" t="s">
        <v>2138</v>
      </c>
      <c r="L3247" s="3">
        <v>0.4291666666666667</v>
      </c>
      <c r="M3247" s="2" t="s">
        <v>253</v>
      </c>
      <c r="N3247" s="2" t="s">
        <v>500</v>
      </c>
      <c r="O3247" s="2"/>
    </row>
    <row r="3248" spans="1:15" x14ac:dyDescent="0.25">
      <c r="A3248" s="2" t="s">
        <v>15</v>
      </c>
      <c r="B3248" s="2" t="str">
        <f>"FES1162771528"</f>
        <v>FES1162771528</v>
      </c>
      <c r="C3248" s="2" t="s">
        <v>1969</v>
      </c>
      <c r="D3248" s="2">
        <v>1</v>
      </c>
      <c r="E3248" s="2" t="str">
        <f>"2170758515"</f>
        <v>2170758515</v>
      </c>
      <c r="F3248" s="2" t="s">
        <v>17</v>
      </c>
      <c r="G3248" s="2" t="s">
        <v>18</v>
      </c>
      <c r="H3248" s="2" t="s">
        <v>18</v>
      </c>
      <c r="I3248" s="2" t="s">
        <v>50</v>
      </c>
      <c r="J3248" s="2" t="s">
        <v>2141</v>
      </c>
      <c r="K3248" s="2" t="s">
        <v>2138</v>
      </c>
      <c r="L3248" s="3">
        <v>0.4375</v>
      </c>
      <c r="M3248" s="2" t="s">
        <v>2164</v>
      </c>
      <c r="N3248" s="2" t="s">
        <v>500</v>
      </c>
      <c r="O3248" s="2"/>
    </row>
    <row r="3249" spans="1:15" x14ac:dyDescent="0.25">
      <c r="A3249" s="2" t="s">
        <v>15</v>
      </c>
      <c r="B3249" s="2" t="str">
        <f>"FES1162771636"</f>
        <v>FES1162771636</v>
      </c>
      <c r="C3249" s="2" t="s">
        <v>1969</v>
      </c>
      <c r="D3249" s="2">
        <v>1</v>
      </c>
      <c r="E3249" s="2" t="str">
        <f>"2170758679"</f>
        <v>2170758679</v>
      </c>
      <c r="F3249" s="2" t="s">
        <v>17</v>
      </c>
      <c r="G3249" s="2" t="s">
        <v>18</v>
      </c>
      <c r="H3249" s="2" t="s">
        <v>18</v>
      </c>
      <c r="I3249" s="2" t="s">
        <v>329</v>
      </c>
      <c r="J3249" s="2" t="s">
        <v>2156</v>
      </c>
      <c r="K3249" s="2" t="s">
        <v>2138</v>
      </c>
      <c r="L3249" s="3">
        <v>0.4375</v>
      </c>
      <c r="M3249" s="2" t="s">
        <v>1386</v>
      </c>
      <c r="N3249" s="2" t="s">
        <v>500</v>
      </c>
      <c r="O3249" s="2"/>
    </row>
    <row r="3250" spans="1:15" x14ac:dyDescent="0.25">
      <c r="A3250" s="2" t="s">
        <v>15</v>
      </c>
      <c r="B3250" s="2" t="str">
        <f>"FES1162771610"</f>
        <v>FES1162771610</v>
      </c>
      <c r="C3250" s="2" t="s">
        <v>1969</v>
      </c>
      <c r="D3250" s="2">
        <v>1</v>
      </c>
      <c r="E3250" s="2" t="str">
        <f>"2170758658"</f>
        <v>2170758658</v>
      </c>
      <c r="F3250" s="2" t="s">
        <v>17</v>
      </c>
      <c r="G3250" s="2" t="s">
        <v>18</v>
      </c>
      <c r="H3250" s="2" t="s">
        <v>18</v>
      </c>
      <c r="I3250" s="2" t="s">
        <v>46</v>
      </c>
      <c r="J3250" s="2" t="s">
        <v>153</v>
      </c>
      <c r="K3250" s="2" t="s">
        <v>2138</v>
      </c>
      <c r="L3250" s="3">
        <v>0.4236111111111111</v>
      </c>
      <c r="M3250" s="2" t="s">
        <v>2200</v>
      </c>
      <c r="N3250" s="2" t="s">
        <v>500</v>
      </c>
      <c r="O3250" s="2"/>
    </row>
    <row r="3251" spans="1:15" x14ac:dyDescent="0.25">
      <c r="A3251" s="2" t="s">
        <v>15</v>
      </c>
      <c r="B3251" s="2" t="str">
        <f>"RFES1162771165"</f>
        <v>RFES1162771165</v>
      </c>
      <c r="C3251" s="2" t="s">
        <v>1969</v>
      </c>
      <c r="D3251" s="2">
        <v>1</v>
      </c>
      <c r="E3251" s="2" t="str">
        <f>"2170754969"</f>
        <v>2170754969</v>
      </c>
      <c r="F3251" s="2" t="s">
        <v>17</v>
      </c>
      <c r="G3251" s="2" t="s">
        <v>18</v>
      </c>
      <c r="H3251" s="2" t="s">
        <v>18</v>
      </c>
      <c r="I3251" s="2" t="s">
        <v>46</v>
      </c>
      <c r="J3251" s="2" t="s">
        <v>170</v>
      </c>
      <c r="K3251" s="2" t="s">
        <v>2138</v>
      </c>
      <c r="L3251" s="3">
        <v>0.33749999999999997</v>
      </c>
      <c r="M3251" s="2" t="s">
        <v>2201</v>
      </c>
      <c r="N3251" s="2" t="s">
        <v>500</v>
      </c>
      <c r="O3251" s="2"/>
    </row>
    <row r="3252" spans="1:15" x14ac:dyDescent="0.25">
      <c r="A3252" s="2" t="s">
        <v>15</v>
      </c>
      <c r="B3252" s="2" t="str">
        <f>"RFES1162771139"</f>
        <v>RFES1162771139</v>
      </c>
      <c r="C3252" s="2" t="s">
        <v>1969</v>
      </c>
      <c r="D3252" s="2">
        <v>1</v>
      </c>
      <c r="E3252" s="2" t="str">
        <f>"2170756774"</f>
        <v>2170756774</v>
      </c>
      <c r="F3252" s="2" t="s">
        <v>17</v>
      </c>
      <c r="G3252" s="2" t="s">
        <v>18</v>
      </c>
      <c r="H3252" s="2" t="s">
        <v>18</v>
      </c>
      <c r="I3252" s="2" t="s">
        <v>46</v>
      </c>
      <c r="J3252" s="2" t="s">
        <v>170</v>
      </c>
      <c r="K3252" s="2" t="s">
        <v>2138</v>
      </c>
      <c r="L3252" s="3">
        <v>0.33333333333333331</v>
      </c>
      <c r="M3252" s="2" t="s">
        <v>2201</v>
      </c>
      <c r="N3252" s="2" t="s">
        <v>500</v>
      </c>
      <c r="O3252" s="2"/>
    </row>
    <row r="3253" spans="1:15" x14ac:dyDescent="0.25">
      <c r="A3253" s="2" t="s">
        <v>15</v>
      </c>
      <c r="B3253" s="2" t="str">
        <f>"RFES1162771164"</f>
        <v>RFES1162771164</v>
      </c>
      <c r="C3253" s="2" t="s">
        <v>1969</v>
      </c>
      <c r="D3253" s="2">
        <v>1</v>
      </c>
      <c r="E3253" s="2" t="str">
        <f>"2170754967"</f>
        <v>2170754967</v>
      </c>
      <c r="F3253" s="2" t="s">
        <v>17</v>
      </c>
      <c r="G3253" s="2" t="s">
        <v>18</v>
      </c>
      <c r="H3253" s="2" t="s">
        <v>18</v>
      </c>
      <c r="I3253" s="2" t="s">
        <v>46</v>
      </c>
      <c r="J3253" s="2" t="s">
        <v>170</v>
      </c>
      <c r="K3253" s="2" t="s">
        <v>2138</v>
      </c>
      <c r="L3253" s="3">
        <v>0.33749999999999997</v>
      </c>
      <c r="M3253" s="2" t="s">
        <v>2201</v>
      </c>
      <c r="N3253" s="2" t="s">
        <v>500</v>
      </c>
      <c r="O3253" s="2"/>
    </row>
    <row r="3254" spans="1:15" x14ac:dyDescent="0.25">
      <c r="A3254" s="2" t="s">
        <v>15</v>
      </c>
      <c r="B3254" s="2" t="str">
        <f>"RFES1162770618"</f>
        <v>RFES1162770618</v>
      </c>
      <c r="C3254" s="2" t="s">
        <v>2138</v>
      </c>
      <c r="D3254" s="2">
        <v>1</v>
      </c>
      <c r="E3254" s="2" t="str">
        <f>"2170755691"</f>
        <v>2170755691</v>
      </c>
      <c r="F3254" s="2" t="s">
        <v>17</v>
      </c>
      <c r="G3254" s="2" t="s">
        <v>18</v>
      </c>
      <c r="H3254" s="2" t="s">
        <v>18</v>
      </c>
      <c r="I3254" s="2" t="s">
        <v>46</v>
      </c>
      <c r="J3254" s="2" t="s">
        <v>170</v>
      </c>
      <c r="K3254" s="2" t="s">
        <v>2197</v>
      </c>
      <c r="L3254" s="3">
        <v>0.34027777777777773</v>
      </c>
      <c r="M3254" s="2" t="s">
        <v>262</v>
      </c>
      <c r="N3254" s="2" t="s">
        <v>500</v>
      </c>
      <c r="O3254" s="2"/>
    </row>
    <row r="3255" spans="1:15" x14ac:dyDescent="0.25">
      <c r="A3255" s="2" t="s">
        <v>15</v>
      </c>
      <c r="B3255" s="2" t="str">
        <f>"FES1162771671"</f>
        <v>FES1162771671</v>
      </c>
      <c r="C3255" s="2" t="s">
        <v>2138</v>
      </c>
      <c r="D3255" s="2">
        <v>1</v>
      </c>
      <c r="E3255" s="2" t="str">
        <f>"2170755759"</f>
        <v>2170755759</v>
      </c>
      <c r="F3255" s="2" t="s">
        <v>17</v>
      </c>
      <c r="G3255" s="2" t="s">
        <v>18</v>
      </c>
      <c r="H3255" s="2" t="s">
        <v>36</v>
      </c>
      <c r="I3255" s="2" t="s">
        <v>37</v>
      </c>
      <c r="J3255" s="2" t="s">
        <v>403</v>
      </c>
      <c r="K3255" s="2" t="s">
        <v>2197</v>
      </c>
      <c r="L3255" s="3">
        <v>0.42638888888888887</v>
      </c>
      <c r="M3255" s="2" t="s">
        <v>685</v>
      </c>
      <c r="N3255" s="2" t="s">
        <v>500</v>
      </c>
      <c r="O3255" s="2"/>
    </row>
    <row r="3256" spans="1:15" x14ac:dyDescent="0.25">
      <c r="A3256" s="2" t="s">
        <v>15</v>
      </c>
      <c r="B3256" s="2" t="str">
        <f>"FES1162771678"</f>
        <v>FES1162771678</v>
      </c>
      <c r="C3256" s="2" t="s">
        <v>2138</v>
      </c>
      <c r="D3256" s="2">
        <v>1</v>
      </c>
      <c r="E3256" s="2" t="str">
        <f>"2170758444"</f>
        <v>2170758444</v>
      </c>
      <c r="F3256" s="2" t="s">
        <v>17</v>
      </c>
      <c r="G3256" s="2" t="s">
        <v>18</v>
      </c>
      <c r="H3256" s="2" t="s">
        <v>33</v>
      </c>
      <c r="I3256" s="2" t="s">
        <v>34</v>
      </c>
      <c r="J3256" s="2" t="s">
        <v>317</v>
      </c>
      <c r="K3256" s="2" t="s">
        <v>2197</v>
      </c>
      <c r="L3256" s="3">
        <v>0.43333333333333335</v>
      </c>
      <c r="M3256" s="2" t="s">
        <v>2242</v>
      </c>
      <c r="N3256" s="2" t="s">
        <v>500</v>
      </c>
      <c r="O3256" s="2"/>
    </row>
    <row r="3257" spans="1:15" s="4" customFormat="1" x14ac:dyDescent="0.25">
      <c r="A3257" s="5" t="s">
        <v>15</v>
      </c>
      <c r="B3257" s="5" t="str">
        <f>"FES1162771674"</f>
        <v>FES1162771674</v>
      </c>
      <c r="C3257" s="5" t="s">
        <v>2138</v>
      </c>
      <c r="D3257" s="5">
        <v>1</v>
      </c>
      <c r="E3257" s="5" t="str">
        <f>"2170757845"</f>
        <v>2170757845</v>
      </c>
      <c r="F3257" s="5" t="s">
        <v>17</v>
      </c>
      <c r="G3257" s="5" t="s">
        <v>18</v>
      </c>
      <c r="H3257" s="5" t="s">
        <v>19</v>
      </c>
      <c r="I3257" s="5" t="s">
        <v>20</v>
      </c>
      <c r="J3257" s="5" t="s">
        <v>1285</v>
      </c>
      <c r="K3257" s="5" t="s">
        <v>2384</v>
      </c>
      <c r="L3257" s="9">
        <v>0.49861111111111112</v>
      </c>
      <c r="M3257" s="5" t="s">
        <v>2512</v>
      </c>
      <c r="N3257" s="5" t="s">
        <v>500</v>
      </c>
      <c r="O3257" s="5"/>
    </row>
    <row r="3258" spans="1:15" x14ac:dyDescent="0.25">
      <c r="A3258" s="2" t="s">
        <v>15</v>
      </c>
      <c r="B3258" s="2" t="str">
        <f>"FES1162771702"</f>
        <v>FES1162771702</v>
      </c>
      <c r="C3258" s="2" t="s">
        <v>2138</v>
      </c>
      <c r="D3258" s="2">
        <v>1</v>
      </c>
      <c r="E3258" s="2" t="str">
        <f>"2170758727"</f>
        <v>2170758727</v>
      </c>
      <c r="F3258" s="2" t="s">
        <v>17</v>
      </c>
      <c r="G3258" s="2" t="s">
        <v>18</v>
      </c>
      <c r="H3258" s="2" t="s">
        <v>33</v>
      </c>
      <c r="I3258" s="2" t="s">
        <v>34</v>
      </c>
      <c r="J3258" s="2" t="s">
        <v>371</v>
      </c>
      <c r="K3258" s="2" t="s">
        <v>2197</v>
      </c>
      <c r="L3258" s="3">
        <v>0.55486111111111114</v>
      </c>
      <c r="M3258" s="2" t="s">
        <v>2243</v>
      </c>
      <c r="N3258" s="2" t="s">
        <v>500</v>
      </c>
      <c r="O3258" s="2"/>
    </row>
    <row r="3259" spans="1:15" x14ac:dyDescent="0.25">
      <c r="A3259" s="2" t="s">
        <v>15</v>
      </c>
      <c r="B3259" s="2" t="str">
        <f>"FES1162771703"</f>
        <v>FES1162771703</v>
      </c>
      <c r="C3259" s="2" t="s">
        <v>2138</v>
      </c>
      <c r="D3259" s="2">
        <v>1</v>
      </c>
      <c r="E3259" s="2" t="str">
        <f>"2170758729"</f>
        <v>2170758729</v>
      </c>
      <c r="F3259" s="2" t="s">
        <v>17</v>
      </c>
      <c r="G3259" s="2" t="s">
        <v>18</v>
      </c>
      <c r="H3259" s="2" t="s">
        <v>36</v>
      </c>
      <c r="I3259" s="2" t="s">
        <v>37</v>
      </c>
      <c r="J3259" s="2" t="s">
        <v>102</v>
      </c>
      <c r="K3259" s="2" t="s">
        <v>2197</v>
      </c>
      <c r="L3259" s="3">
        <v>0.39861111111111108</v>
      </c>
      <c r="M3259" s="2" t="s">
        <v>219</v>
      </c>
      <c r="N3259" s="2" t="s">
        <v>500</v>
      </c>
      <c r="O3259" s="2"/>
    </row>
    <row r="3260" spans="1:15" x14ac:dyDescent="0.25">
      <c r="A3260" s="2" t="s">
        <v>15</v>
      </c>
      <c r="B3260" s="2" t="str">
        <f>"FES1162771723"</f>
        <v>FES1162771723</v>
      </c>
      <c r="C3260" s="2" t="s">
        <v>2138</v>
      </c>
      <c r="D3260" s="2">
        <v>1</v>
      </c>
      <c r="E3260" s="2" t="str">
        <f>"2170758758"</f>
        <v>2170758758</v>
      </c>
      <c r="F3260" s="2" t="s">
        <v>17</v>
      </c>
      <c r="G3260" s="2" t="s">
        <v>18</v>
      </c>
      <c r="H3260" s="2" t="s">
        <v>18</v>
      </c>
      <c r="I3260" s="2" t="s">
        <v>63</v>
      </c>
      <c r="J3260" s="2" t="s">
        <v>93</v>
      </c>
      <c r="K3260" s="2" t="s">
        <v>2197</v>
      </c>
      <c r="L3260" s="3">
        <v>0.36874999999999997</v>
      </c>
      <c r="M3260" s="2" t="s">
        <v>397</v>
      </c>
      <c r="N3260" s="2" t="s">
        <v>500</v>
      </c>
      <c r="O3260" s="2"/>
    </row>
    <row r="3261" spans="1:15" x14ac:dyDescent="0.25">
      <c r="A3261" s="2" t="s">
        <v>15</v>
      </c>
      <c r="B3261" s="2" t="str">
        <f>"FES1162771737"</f>
        <v>FES1162771737</v>
      </c>
      <c r="C3261" s="2" t="s">
        <v>2138</v>
      </c>
      <c r="D3261" s="2">
        <v>1</v>
      </c>
      <c r="E3261" s="2" t="str">
        <f>"2170758779"</f>
        <v>2170758779</v>
      </c>
      <c r="F3261" s="2" t="s">
        <v>17</v>
      </c>
      <c r="G3261" s="2" t="s">
        <v>18</v>
      </c>
      <c r="H3261" s="2" t="s">
        <v>78</v>
      </c>
      <c r="I3261" s="2" t="s">
        <v>79</v>
      </c>
      <c r="J3261" s="2" t="s">
        <v>383</v>
      </c>
      <c r="K3261" s="2" t="s">
        <v>2197</v>
      </c>
      <c r="L3261" s="3">
        <v>0.4236111111111111</v>
      </c>
      <c r="M3261" s="2" t="s">
        <v>582</v>
      </c>
      <c r="N3261" s="2" t="s">
        <v>500</v>
      </c>
      <c r="O3261" s="2"/>
    </row>
    <row r="3262" spans="1:15" x14ac:dyDescent="0.25">
      <c r="A3262" s="2" t="s">
        <v>15</v>
      </c>
      <c r="B3262" s="2" t="str">
        <f>"FES1162771697"</f>
        <v>FES1162771697</v>
      </c>
      <c r="C3262" s="2" t="s">
        <v>2138</v>
      </c>
      <c r="D3262" s="2">
        <v>1</v>
      </c>
      <c r="E3262" s="2" t="str">
        <f>"2170758717"</f>
        <v>2170758717</v>
      </c>
      <c r="F3262" s="2" t="s">
        <v>17</v>
      </c>
      <c r="G3262" s="2" t="s">
        <v>18</v>
      </c>
      <c r="H3262" s="2" t="s">
        <v>36</v>
      </c>
      <c r="I3262" s="2" t="s">
        <v>37</v>
      </c>
      <c r="J3262" s="2" t="s">
        <v>2202</v>
      </c>
      <c r="K3262" s="2" t="s">
        <v>2197</v>
      </c>
      <c r="L3262" s="3">
        <v>0.3527777777777778</v>
      </c>
      <c r="M3262" s="2" t="s">
        <v>2244</v>
      </c>
      <c r="N3262" s="2" t="s">
        <v>500</v>
      </c>
      <c r="O3262" s="2"/>
    </row>
    <row r="3263" spans="1:15" x14ac:dyDescent="0.25">
      <c r="A3263" s="2" t="s">
        <v>15</v>
      </c>
      <c r="B3263" s="2" t="str">
        <f>"FES1162771679"</f>
        <v>FES1162771679</v>
      </c>
      <c r="C3263" s="2" t="s">
        <v>2138</v>
      </c>
      <c r="D3263" s="2">
        <v>1</v>
      </c>
      <c r="E3263" s="2" t="str">
        <f>"2170758456"</f>
        <v>2170758456</v>
      </c>
      <c r="F3263" s="2" t="s">
        <v>17</v>
      </c>
      <c r="G3263" s="2" t="s">
        <v>18</v>
      </c>
      <c r="H3263" s="2" t="s">
        <v>33</v>
      </c>
      <c r="I3263" s="2" t="s">
        <v>34</v>
      </c>
      <c r="J3263" s="2" t="s">
        <v>317</v>
      </c>
      <c r="K3263" s="2" t="s">
        <v>2197</v>
      </c>
      <c r="L3263" s="3">
        <v>0.43333333333333335</v>
      </c>
      <c r="M3263" s="2" t="s">
        <v>2242</v>
      </c>
      <c r="N3263" s="2" t="s">
        <v>500</v>
      </c>
      <c r="O3263" s="2"/>
    </row>
    <row r="3264" spans="1:15" x14ac:dyDescent="0.25">
      <c r="A3264" s="2" t="s">
        <v>15</v>
      </c>
      <c r="B3264" s="2" t="str">
        <f>"FES1162771694"</f>
        <v>FES1162771694</v>
      </c>
      <c r="C3264" s="2" t="s">
        <v>2138</v>
      </c>
      <c r="D3264" s="2">
        <v>1</v>
      </c>
      <c r="E3264" s="2" t="str">
        <f>"2170758714"</f>
        <v>2170758714</v>
      </c>
      <c r="F3264" s="2" t="s">
        <v>17</v>
      </c>
      <c r="G3264" s="2" t="s">
        <v>18</v>
      </c>
      <c r="H3264" s="2" t="s">
        <v>36</v>
      </c>
      <c r="I3264" s="2" t="s">
        <v>37</v>
      </c>
      <c r="J3264" s="2" t="s">
        <v>55</v>
      </c>
      <c r="K3264" s="2" t="s">
        <v>2197</v>
      </c>
      <c r="L3264" s="3">
        <v>0.35347222222222219</v>
      </c>
      <c r="M3264" s="2" t="s">
        <v>305</v>
      </c>
      <c r="N3264" s="2" t="s">
        <v>500</v>
      </c>
      <c r="O3264" s="2"/>
    </row>
    <row r="3265" spans="1:15" x14ac:dyDescent="0.25">
      <c r="A3265" s="2" t="s">
        <v>15</v>
      </c>
      <c r="B3265" s="2" t="str">
        <f>"FES1162771676"</f>
        <v>FES1162771676</v>
      </c>
      <c r="C3265" s="2" t="s">
        <v>2138</v>
      </c>
      <c r="D3265" s="2">
        <v>1</v>
      </c>
      <c r="E3265" s="2" t="str">
        <f>"2170758309"</f>
        <v>2170758309</v>
      </c>
      <c r="F3265" s="2" t="s">
        <v>17</v>
      </c>
      <c r="G3265" s="2" t="s">
        <v>18</v>
      </c>
      <c r="H3265" s="2" t="s">
        <v>33</v>
      </c>
      <c r="I3265" s="2" t="s">
        <v>34</v>
      </c>
      <c r="J3265" s="2" t="s">
        <v>317</v>
      </c>
      <c r="K3265" s="2" t="s">
        <v>2197</v>
      </c>
      <c r="L3265" s="3">
        <v>0.39027777777777778</v>
      </c>
      <c r="M3265" s="2" t="s">
        <v>2245</v>
      </c>
      <c r="N3265" s="2" t="s">
        <v>500</v>
      </c>
      <c r="O3265" s="2"/>
    </row>
    <row r="3266" spans="1:15" x14ac:dyDescent="0.25">
      <c r="A3266" s="2" t="s">
        <v>15</v>
      </c>
      <c r="B3266" s="2" t="str">
        <f>"FES1162771707"</f>
        <v>FES1162771707</v>
      </c>
      <c r="C3266" s="2" t="s">
        <v>2138</v>
      </c>
      <c r="D3266" s="2">
        <v>1</v>
      </c>
      <c r="E3266" s="2" t="str">
        <f>"2170758735"</f>
        <v>2170758735</v>
      </c>
      <c r="F3266" s="2" t="s">
        <v>17</v>
      </c>
      <c r="G3266" s="2" t="s">
        <v>18</v>
      </c>
      <c r="H3266" s="2" t="s">
        <v>25</v>
      </c>
      <c r="I3266" s="2" t="s">
        <v>26</v>
      </c>
      <c r="J3266" s="2" t="s">
        <v>623</v>
      </c>
      <c r="K3266" s="2" t="s">
        <v>2197</v>
      </c>
      <c r="L3266" s="3">
        <v>0.4236111111111111</v>
      </c>
      <c r="M3266" s="2" t="s">
        <v>1368</v>
      </c>
      <c r="N3266" s="2" t="s">
        <v>500</v>
      </c>
      <c r="O3266" s="2"/>
    </row>
    <row r="3267" spans="1:15" x14ac:dyDescent="0.25">
      <c r="A3267" s="2" t="s">
        <v>15</v>
      </c>
      <c r="B3267" s="2" t="str">
        <f>"FES1162771680"</f>
        <v>FES1162771680</v>
      </c>
      <c r="C3267" s="2" t="s">
        <v>2138</v>
      </c>
      <c r="D3267" s="2">
        <v>1</v>
      </c>
      <c r="E3267" s="2" t="str">
        <f>"2170758494"</f>
        <v>2170758494</v>
      </c>
      <c r="F3267" s="2" t="s">
        <v>17</v>
      </c>
      <c r="G3267" s="2" t="s">
        <v>18</v>
      </c>
      <c r="H3267" s="2" t="s">
        <v>25</v>
      </c>
      <c r="I3267" s="2" t="s">
        <v>26</v>
      </c>
      <c r="J3267" s="2" t="s">
        <v>94</v>
      </c>
      <c r="K3267" s="2" t="s">
        <v>2197</v>
      </c>
      <c r="L3267" s="3">
        <v>0.41666666666666669</v>
      </c>
      <c r="M3267" s="2" t="s">
        <v>2246</v>
      </c>
      <c r="N3267" s="2" t="s">
        <v>500</v>
      </c>
      <c r="O3267" s="2"/>
    </row>
    <row r="3268" spans="1:15" x14ac:dyDescent="0.25">
      <c r="A3268" s="2" t="s">
        <v>15</v>
      </c>
      <c r="B3268" s="2" t="str">
        <f>"FES1162771708"</f>
        <v>FES1162771708</v>
      </c>
      <c r="C3268" s="2" t="s">
        <v>2138</v>
      </c>
      <c r="D3268" s="2">
        <v>1</v>
      </c>
      <c r="E3268" s="2" t="str">
        <f>"2170758736"</f>
        <v>2170758736</v>
      </c>
      <c r="F3268" s="2" t="s">
        <v>17</v>
      </c>
      <c r="G3268" s="2" t="s">
        <v>18</v>
      </c>
      <c r="H3268" s="2" t="s">
        <v>25</v>
      </c>
      <c r="I3268" s="2" t="s">
        <v>26</v>
      </c>
      <c r="J3268" s="2" t="s">
        <v>474</v>
      </c>
      <c r="K3268" s="2" t="s">
        <v>2197</v>
      </c>
      <c r="L3268" s="3">
        <v>0.41666666666666669</v>
      </c>
      <c r="M3268" s="2" t="s">
        <v>1252</v>
      </c>
      <c r="N3268" s="2" t="s">
        <v>500</v>
      </c>
      <c r="O3268" s="2"/>
    </row>
    <row r="3269" spans="1:15" x14ac:dyDescent="0.25">
      <c r="A3269" s="2" t="s">
        <v>15</v>
      </c>
      <c r="B3269" s="2" t="str">
        <f>"FES1162771771"</f>
        <v>FES1162771771</v>
      </c>
      <c r="C3269" s="2" t="s">
        <v>2138</v>
      </c>
      <c r="D3269" s="2">
        <v>1</v>
      </c>
      <c r="E3269" s="2" t="str">
        <f>"2170758394"</f>
        <v>2170758394</v>
      </c>
      <c r="F3269" s="2" t="s">
        <v>17</v>
      </c>
      <c r="G3269" s="2" t="s">
        <v>18</v>
      </c>
      <c r="H3269" s="2" t="s">
        <v>18</v>
      </c>
      <c r="I3269" s="2" t="s">
        <v>57</v>
      </c>
      <c r="J3269" s="2" t="s">
        <v>871</v>
      </c>
      <c r="K3269" s="2" t="s">
        <v>2197</v>
      </c>
      <c r="L3269" s="3">
        <v>0.41666666666666669</v>
      </c>
      <c r="M3269" s="2" t="s">
        <v>940</v>
      </c>
      <c r="N3269" s="2" t="s">
        <v>500</v>
      </c>
      <c r="O3269" s="2"/>
    </row>
    <row r="3270" spans="1:15" x14ac:dyDescent="0.25">
      <c r="A3270" s="2" t="s">
        <v>15</v>
      </c>
      <c r="B3270" s="2" t="str">
        <f>"FES1162771239"</f>
        <v>FES1162771239</v>
      </c>
      <c r="C3270" s="2" t="s">
        <v>2138</v>
      </c>
      <c r="D3270" s="2">
        <v>1</v>
      </c>
      <c r="E3270" s="2" t="str">
        <f>"2170758297"</f>
        <v>2170758297</v>
      </c>
      <c r="F3270" s="2" t="s">
        <v>17</v>
      </c>
      <c r="G3270" s="2" t="s">
        <v>18</v>
      </c>
      <c r="H3270" s="2" t="s">
        <v>33</v>
      </c>
      <c r="I3270" s="2" t="s">
        <v>34</v>
      </c>
      <c r="J3270" s="2" t="s">
        <v>152</v>
      </c>
      <c r="K3270" s="2" t="s">
        <v>2197</v>
      </c>
      <c r="L3270" s="3">
        <v>0.55069444444444449</v>
      </c>
      <c r="M3270" s="2" t="s">
        <v>2247</v>
      </c>
      <c r="N3270" s="2" t="s">
        <v>500</v>
      </c>
      <c r="O3270" s="2"/>
    </row>
    <row r="3271" spans="1:15" x14ac:dyDescent="0.25">
      <c r="A3271" s="2" t="s">
        <v>15</v>
      </c>
      <c r="B3271" s="2" t="str">
        <f>"FES1162771714"</f>
        <v>FES1162771714</v>
      </c>
      <c r="C3271" s="2" t="s">
        <v>2138</v>
      </c>
      <c r="D3271" s="2">
        <v>1</v>
      </c>
      <c r="E3271" s="2" t="str">
        <f>"2170758746"</f>
        <v>2170758746</v>
      </c>
      <c r="F3271" s="2" t="s">
        <v>17</v>
      </c>
      <c r="G3271" s="2" t="s">
        <v>18</v>
      </c>
      <c r="H3271" s="2" t="s">
        <v>18</v>
      </c>
      <c r="I3271" s="2" t="s">
        <v>57</v>
      </c>
      <c r="J3271" s="2" t="s">
        <v>415</v>
      </c>
      <c r="K3271" s="2" t="s">
        <v>2197</v>
      </c>
      <c r="L3271" s="3">
        <v>0.4375</v>
      </c>
      <c r="M3271" s="2" t="s">
        <v>2248</v>
      </c>
      <c r="N3271" s="2" t="s">
        <v>500</v>
      </c>
      <c r="O3271" s="2"/>
    </row>
    <row r="3272" spans="1:15" x14ac:dyDescent="0.25">
      <c r="A3272" s="2" t="s">
        <v>15</v>
      </c>
      <c r="B3272" s="2" t="str">
        <f>"FES1162771720"</f>
        <v>FES1162771720</v>
      </c>
      <c r="C3272" s="2" t="s">
        <v>2138</v>
      </c>
      <c r="D3272" s="2">
        <v>1</v>
      </c>
      <c r="E3272" s="2" t="str">
        <f>"2170758705"</f>
        <v>2170758705</v>
      </c>
      <c r="F3272" s="2" t="s">
        <v>17</v>
      </c>
      <c r="G3272" s="2" t="s">
        <v>18</v>
      </c>
      <c r="H3272" s="2" t="s">
        <v>88</v>
      </c>
      <c r="I3272" s="2" t="s">
        <v>109</v>
      </c>
      <c r="J3272" s="2" t="s">
        <v>2203</v>
      </c>
      <c r="K3272" s="2" t="s">
        <v>2197</v>
      </c>
      <c r="L3272" s="3">
        <v>0.375</v>
      </c>
      <c r="M3272" s="2" t="s">
        <v>350</v>
      </c>
      <c r="N3272" s="2" t="s">
        <v>500</v>
      </c>
      <c r="O3272" s="2"/>
    </row>
    <row r="3273" spans="1:15" x14ac:dyDescent="0.25">
      <c r="A3273" s="2" t="s">
        <v>15</v>
      </c>
      <c r="B3273" s="2" t="str">
        <f>"FES1162771710"</f>
        <v>FES1162771710</v>
      </c>
      <c r="C3273" s="2" t="s">
        <v>2138</v>
      </c>
      <c r="D3273" s="2">
        <v>1</v>
      </c>
      <c r="E3273" s="2" t="str">
        <f>"2170758739"</f>
        <v>2170758739</v>
      </c>
      <c r="F3273" s="2" t="s">
        <v>17</v>
      </c>
      <c r="G3273" s="2" t="s">
        <v>18</v>
      </c>
      <c r="H3273" s="2" t="s">
        <v>18</v>
      </c>
      <c r="I3273" s="2" t="s">
        <v>107</v>
      </c>
      <c r="J3273" s="2" t="s">
        <v>2204</v>
      </c>
      <c r="K3273" s="2" t="s">
        <v>2197</v>
      </c>
      <c r="L3273" s="3">
        <v>0.35416666666666669</v>
      </c>
      <c r="M3273" s="2" t="s">
        <v>2249</v>
      </c>
      <c r="N3273" s="2" t="s">
        <v>500</v>
      </c>
      <c r="O3273" s="2"/>
    </row>
    <row r="3274" spans="1:15" x14ac:dyDescent="0.25">
      <c r="A3274" s="2" t="s">
        <v>15</v>
      </c>
      <c r="B3274" s="2" t="str">
        <f>"FES1162771733"</f>
        <v>FES1162771733</v>
      </c>
      <c r="C3274" s="2" t="s">
        <v>2138</v>
      </c>
      <c r="D3274" s="2">
        <v>1</v>
      </c>
      <c r="E3274" s="2" t="str">
        <f>"2170754984"</f>
        <v>2170754984</v>
      </c>
      <c r="F3274" s="2" t="s">
        <v>17</v>
      </c>
      <c r="G3274" s="2" t="s">
        <v>18</v>
      </c>
      <c r="H3274" s="2" t="s">
        <v>25</v>
      </c>
      <c r="I3274" s="2" t="s">
        <v>125</v>
      </c>
      <c r="J3274" s="2" t="s">
        <v>126</v>
      </c>
      <c r="K3274" s="2" t="s">
        <v>2197</v>
      </c>
      <c r="L3274" s="3">
        <v>0.52638888888888891</v>
      </c>
      <c r="M3274" s="2" t="s">
        <v>235</v>
      </c>
      <c r="N3274" s="2" t="s">
        <v>500</v>
      </c>
      <c r="O3274" s="2"/>
    </row>
    <row r="3275" spans="1:15" x14ac:dyDescent="0.25">
      <c r="A3275" s="2" t="s">
        <v>15</v>
      </c>
      <c r="B3275" s="2" t="str">
        <f>"FES1162771735"</f>
        <v>FES1162771735</v>
      </c>
      <c r="C3275" s="2" t="s">
        <v>2138</v>
      </c>
      <c r="D3275" s="2">
        <v>1</v>
      </c>
      <c r="E3275" s="2" t="str">
        <f>"2170756764"</f>
        <v>2170756764</v>
      </c>
      <c r="F3275" s="2" t="s">
        <v>17</v>
      </c>
      <c r="G3275" s="2" t="s">
        <v>18</v>
      </c>
      <c r="H3275" s="2" t="s">
        <v>25</v>
      </c>
      <c r="I3275" s="2" t="s">
        <v>125</v>
      </c>
      <c r="J3275" s="2" t="s">
        <v>126</v>
      </c>
      <c r="K3275" s="2" t="s">
        <v>2197</v>
      </c>
      <c r="L3275" s="3">
        <v>0.52638888888888891</v>
      </c>
      <c r="M3275" s="2" t="s">
        <v>235</v>
      </c>
      <c r="N3275" s="2" t="s">
        <v>500</v>
      </c>
      <c r="O3275" s="2"/>
    </row>
    <row r="3276" spans="1:15" x14ac:dyDescent="0.25">
      <c r="A3276" s="2" t="s">
        <v>15</v>
      </c>
      <c r="B3276" s="2" t="str">
        <f>"FES1162771725"</f>
        <v>FES1162771725</v>
      </c>
      <c r="C3276" s="2" t="s">
        <v>2138</v>
      </c>
      <c r="D3276" s="2">
        <v>1</v>
      </c>
      <c r="E3276" s="2" t="str">
        <f>"2170758762"</f>
        <v>2170758762</v>
      </c>
      <c r="F3276" s="2" t="s">
        <v>17</v>
      </c>
      <c r="G3276" s="2" t="s">
        <v>18</v>
      </c>
      <c r="H3276" s="2" t="s">
        <v>25</v>
      </c>
      <c r="I3276" s="2" t="s">
        <v>26</v>
      </c>
      <c r="J3276" s="2" t="s">
        <v>44</v>
      </c>
      <c r="K3276" s="2" t="s">
        <v>2197</v>
      </c>
      <c r="L3276" s="3">
        <v>0.4375</v>
      </c>
      <c r="M3276" s="2" t="s">
        <v>2250</v>
      </c>
      <c r="N3276" s="2" t="s">
        <v>500</v>
      </c>
      <c r="O3276" s="2"/>
    </row>
    <row r="3277" spans="1:15" x14ac:dyDescent="0.25">
      <c r="A3277" s="2" t="s">
        <v>15</v>
      </c>
      <c r="B3277" s="2" t="str">
        <f>"FES1162771672"</f>
        <v>FES1162771672</v>
      </c>
      <c r="C3277" s="2" t="s">
        <v>2138</v>
      </c>
      <c r="D3277" s="2">
        <v>1</v>
      </c>
      <c r="E3277" s="2" t="str">
        <f>"2170756914"</f>
        <v>2170756914</v>
      </c>
      <c r="F3277" s="2" t="s">
        <v>17</v>
      </c>
      <c r="G3277" s="2" t="s">
        <v>18</v>
      </c>
      <c r="H3277" s="2" t="s">
        <v>18</v>
      </c>
      <c r="I3277" s="2" t="s">
        <v>116</v>
      </c>
      <c r="J3277" s="2" t="s">
        <v>169</v>
      </c>
      <c r="K3277" s="2" t="s">
        <v>2197</v>
      </c>
      <c r="L3277" s="3">
        <v>0.40972222222222227</v>
      </c>
      <c r="M3277" s="2" t="s">
        <v>172</v>
      </c>
      <c r="N3277" s="2" t="s">
        <v>500</v>
      </c>
      <c r="O3277" s="2"/>
    </row>
    <row r="3278" spans="1:15" x14ac:dyDescent="0.25">
      <c r="A3278" s="2" t="s">
        <v>15</v>
      </c>
      <c r="B3278" s="2" t="str">
        <f>"FES1162771719"</f>
        <v>FES1162771719</v>
      </c>
      <c r="C3278" s="2" t="s">
        <v>2138</v>
      </c>
      <c r="D3278" s="2">
        <v>1</v>
      </c>
      <c r="E3278" s="2" t="str">
        <f>"2170758704"</f>
        <v>2170758704</v>
      </c>
      <c r="F3278" s="2" t="s">
        <v>17</v>
      </c>
      <c r="G3278" s="2" t="s">
        <v>18</v>
      </c>
      <c r="H3278" s="2" t="s">
        <v>18</v>
      </c>
      <c r="I3278" s="2" t="s">
        <v>46</v>
      </c>
      <c r="J3278" s="2" t="s">
        <v>2205</v>
      </c>
      <c r="K3278" s="2" t="s">
        <v>2197</v>
      </c>
      <c r="L3278" s="3">
        <v>0.37986111111111115</v>
      </c>
      <c r="M3278" s="2" t="s">
        <v>2251</v>
      </c>
      <c r="N3278" s="2" t="s">
        <v>500</v>
      </c>
      <c r="O3278" s="2"/>
    </row>
    <row r="3279" spans="1:15" x14ac:dyDescent="0.25">
      <c r="A3279" s="2" t="s">
        <v>15</v>
      </c>
      <c r="B3279" s="2" t="str">
        <f>"FES1162771695"</f>
        <v>FES1162771695</v>
      </c>
      <c r="C3279" s="2" t="s">
        <v>2138</v>
      </c>
      <c r="D3279" s="2">
        <v>1</v>
      </c>
      <c r="E3279" s="2" t="str">
        <f>"2170758715"</f>
        <v>2170758715</v>
      </c>
      <c r="F3279" s="2" t="s">
        <v>17</v>
      </c>
      <c r="G3279" s="2" t="s">
        <v>18</v>
      </c>
      <c r="H3279" s="2" t="s">
        <v>18</v>
      </c>
      <c r="I3279" s="2" t="s">
        <v>290</v>
      </c>
      <c r="J3279" s="2" t="s">
        <v>1698</v>
      </c>
      <c r="K3279" s="2" t="s">
        <v>2197</v>
      </c>
      <c r="L3279" s="3">
        <v>0.4375</v>
      </c>
      <c r="M3279" s="2" t="s">
        <v>559</v>
      </c>
      <c r="N3279" s="2" t="s">
        <v>500</v>
      </c>
      <c r="O3279" s="2"/>
    </row>
    <row r="3280" spans="1:15" x14ac:dyDescent="0.25">
      <c r="A3280" s="2" t="s">
        <v>15</v>
      </c>
      <c r="B3280" s="2" t="str">
        <f>"FES1162771677"</f>
        <v>FES1162771677</v>
      </c>
      <c r="C3280" s="2" t="s">
        <v>2138</v>
      </c>
      <c r="D3280" s="2">
        <v>1</v>
      </c>
      <c r="E3280" s="2" t="str">
        <f>"2170758421"</f>
        <v>2170758421</v>
      </c>
      <c r="F3280" s="2" t="s">
        <v>17</v>
      </c>
      <c r="G3280" s="2" t="s">
        <v>18</v>
      </c>
      <c r="H3280" s="2" t="s">
        <v>18</v>
      </c>
      <c r="I3280" s="2" t="s">
        <v>50</v>
      </c>
      <c r="J3280" s="2" t="s">
        <v>285</v>
      </c>
      <c r="K3280" s="2" t="s">
        <v>2197</v>
      </c>
      <c r="L3280" s="3">
        <v>0.33333333333333331</v>
      </c>
      <c r="M3280" s="2" t="s">
        <v>2009</v>
      </c>
      <c r="N3280" s="2" t="s">
        <v>500</v>
      </c>
      <c r="O3280" s="2"/>
    </row>
    <row r="3281" spans="1:15" x14ac:dyDescent="0.25">
      <c r="A3281" s="2" t="s">
        <v>15</v>
      </c>
      <c r="B3281" s="2" t="str">
        <f>"FES1162771728"</f>
        <v>FES1162771728</v>
      </c>
      <c r="C3281" s="2" t="s">
        <v>2138</v>
      </c>
      <c r="D3281" s="2">
        <v>1</v>
      </c>
      <c r="E3281" s="2" t="str">
        <f>"2170758765"</f>
        <v>2170758765</v>
      </c>
      <c r="F3281" s="2" t="s">
        <v>17</v>
      </c>
      <c r="G3281" s="2" t="s">
        <v>18</v>
      </c>
      <c r="H3281" s="2" t="s">
        <v>25</v>
      </c>
      <c r="I3281" s="2" t="s">
        <v>26</v>
      </c>
      <c r="J3281" s="2" t="s">
        <v>27</v>
      </c>
      <c r="K3281" s="2" t="s">
        <v>2197</v>
      </c>
      <c r="L3281" s="3">
        <v>0.41666666666666669</v>
      </c>
      <c r="M3281" s="2" t="s">
        <v>521</v>
      </c>
      <c r="N3281" s="2" t="s">
        <v>500</v>
      </c>
      <c r="O3281" s="2"/>
    </row>
    <row r="3282" spans="1:15" x14ac:dyDescent="0.25">
      <c r="A3282" s="2" t="s">
        <v>15</v>
      </c>
      <c r="B3282" s="2" t="str">
        <f>"FES1162771698"</f>
        <v>FES1162771698</v>
      </c>
      <c r="C3282" s="2" t="s">
        <v>2138</v>
      </c>
      <c r="D3282" s="2">
        <v>2</v>
      </c>
      <c r="E3282" s="2" t="str">
        <f>"2170758718"</f>
        <v>2170758718</v>
      </c>
      <c r="F3282" s="2" t="s">
        <v>17</v>
      </c>
      <c r="G3282" s="2" t="s">
        <v>18</v>
      </c>
      <c r="H3282" s="2" t="s">
        <v>88</v>
      </c>
      <c r="I3282" s="2" t="s">
        <v>612</v>
      </c>
      <c r="J3282" s="2" t="s">
        <v>613</v>
      </c>
      <c r="K3282" s="2" t="s">
        <v>2197</v>
      </c>
      <c r="L3282" s="3">
        <v>0.6166666666666667</v>
      </c>
      <c r="M3282" s="2" t="s">
        <v>683</v>
      </c>
      <c r="N3282" s="2" t="s">
        <v>500</v>
      </c>
      <c r="O3282" s="2"/>
    </row>
    <row r="3283" spans="1:15" x14ac:dyDescent="0.25">
      <c r="A3283" s="2" t="s">
        <v>15</v>
      </c>
      <c r="B3283" s="2" t="str">
        <f>"FES1162771681"</f>
        <v>FES1162771681</v>
      </c>
      <c r="C3283" s="2" t="s">
        <v>2138</v>
      </c>
      <c r="D3283" s="2">
        <v>1</v>
      </c>
      <c r="E3283" s="2" t="str">
        <f>"2170758537"</f>
        <v>2170758537</v>
      </c>
      <c r="F3283" s="2" t="s">
        <v>17</v>
      </c>
      <c r="G3283" s="2" t="s">
        <v>18</v>
      </c>
      <c r="H3283" s="2" t="s">
        <v>78</v>
      </c>
      <c r="I3283" s="2" t="s">
        <v>79</v>
      </c>
      <c r="J3283" s="2" t="s">
        <v>1147</v>
      </c>
      <c r="K3283" s="2" t="s">
        <v>2197</v>
      </c>
      <c r="L3283" s="3">
        <v>0.40277777777777773</v>
      </c>
      <c r="M3283" s="2" t="s">
        <v>2252</v>
      </c>
      <c r="N3283" s="2" t="s">
        <v>500</v>
      </c>
      <c r="O3283" s="2"/>
    </row>
    <row r="3284" spans="1:15" x14ac:dyDescent="0.25">
      <c r="A3284" s="2" t="s">
        <v>15</v>
      </c>
      <c r="B3284" s="2" t="str">
        <f>"FES1162771734"</f>
        <v>FES1162771734</v>
      </c>
      <c r="C3284" s="2" t="s">
        <v>2138</v>
      </c>
      <c r="D3284" s="2">
        <v>1</v>
      </c>
      <c r="E3284" s="2" t="str">
        <f>"2170758777"</f>
        <v>2170758777</v>
      </c>
      <c r="F3284" s="2" t="s">
        <v>17</v>
      </c>
      <c r="G3284" s="2" t="s">
        <v>18</v>
      </c>
      <c r="H3284" s="2" t="s">
        <v>18</v>
      </c>
      <c r="I3284" s="2" t="s">
        <v>57</v>
      </c>
      <c r="J3284" s="2" t="s">
        <v>415</v>
      </c>
      <c r="K3284" s="2" t="s">
        <v>2197</v>
      </c>
      <c r="L3284" s="3">
        <v>0.4375</v>
      </c>
      <c r="M3284" s="2" t="s">
        <v>2248</v>
      </c>
      <c r="N3284" s="2" t="s">
        <v>500</v>
      </c>
      <c r="O3284" s="2"/>
    </row>
    <row r="3285" spans="1:15" x14ac:dyDescent="0.25">
      <c r="A3285" s="2" t="s">
        <v>15</v>
      </c>
      <c r="B3285" s="2" t="str">
        <f>"FES1162771749"</f>
        <v>FES1162771749</v>
      </c>
      <c r="C3285" s="2" t="s">
        <v>2138</v>
      </c>
      <c r="D3285" s="2">
        <v>1</v>
      </c>
      <c r="E3285" s="2" t="str">
        <f>"2170758796"</f>
        <v>2170758796</v>
      </c>
      <c r="F3285" s="2" t="s">
        <v>17</v>
      </c>
      <c r="G3285" s="2" t="s">
        <v>18</v>
      </c>
      <c r="H3285" s="2" t="s">
        <v>18</v>
      </c>
      <c r="I3285" s="2" t="s">
        <v>290</v>
      </c>
      <c r="J3285" s="2" t="s">
        <v>420</v>
      </c>
      <c r="K3285" s="2" t="s">
        <v>2197</v>
      </c>
      <c r="L3285" s="3">
        <v>0.4375</v>
      </c>
      <c r="M3285" s="2" t="s">
        <v>2253</v>
      </c>
      <c r="N3285" s="2" t="s">
        <v>500</v>
      </c>
      <c r="O3285" s="2"/>
    </row>
    <row r="3286" spans="1:15" x14ac:dyDescent="0.25">
      <c r="A3286" s="2" t="s">
        <v>15</v>
      </c>
      <c r="B3286" s="2" t="str">
        <f>"FES1162771745"</f>
        <v>FES1162771745</v>
      </c>
      <c r="C3286" s="2" t="s">
        <v>2138</v>
      </c>
      <c r="D3286" s="2">
        <v>1</v>
      </c>
      <c r="E3286" s="2" t="str">
        <f>"2170758791"</f>
        <v>2170758791</v>
      </c>
      <c r="F3286" s="2" t="s">
        <v>17</v>
      </c>
      <c r="G3286" s="2" t="s">
        <v>18</v>
      </c>
      <c r="H3286" s="2" t="s">
        <v>18</v>
      </c>
      <c r="I3286" s="2" t="s">
        <v>116</v>
      </c>
      <c r="J3286" s="2" t="s">
        <v>493</v>
      </c>
      <c r="K3286" s="2" t="s">
        <v>2197</v>
      </c>
      <c r="L3286" s="3">
        <v>0.43055555555555558</v>
      </c>
      <c r="M3286" s="2" t="s">
        <v>1654</v>
      </c>
      <c r="N3286" s="2" t="s">
        <v>500</v>
      </c>
      <c r="O3286" s="2"/>
    </row>
    <row r="3287" spans="1:15" x14ac:dyDescent="0.25">
      <c r="A3287" s="2" t="s">
        <v>15</v>
      </c>
      <c r="B3287" s="2" t="str">
        <f>"FES1162771727"</f>
        <v>FES1162771727</v>
      </c>
      <c r="C3287" s="2" t="s">
        <v>2138</v>
      </c>
      <c r="D3287" s="2">
        <v>1</v>
      </c>
      <c r="E3287" s="2" t="str">
        <f>"2170758764"</f>
        <v>2170758764</v>
      </c>
      <c r="F3287" s="2" t="s">
        <v>17</v>
      </c>
      <c r="G3287" s="2" t="s">
        <v>18</v>
      </c>
      <c r="H3287" s="2" t="s">
        <v>19</v>
      </c>
      <c r="I3287" s="2" t="s">
        <v>111</v>
      </c>
      <c r="J3287" s="2" t="s">
        <v>662</v>
      </c>
      <c r="K3287" s="2" t="s">
        <v>2197</v>
      </c>
      <c r="L3287" s="3">
        <v>0.3833333333333333</v>
      </c>
      <c r="M3287" s="2" t="s">
        <v>738</v>
      </c>
      <c r="N3287" s="2" t="s">
        <v>500</v>
      </c>
      <c r="O3287" s="2"/>
    </row>
    <row r="3288" spans="1:15" x14ac:dyDescent="0.25">
      <c r="A3288" s="2" t="s">
        <v>15</v>
      </c>
      <c r="B3288" s="2" t="str">
        <f>"FES1162771687"</f>
        <v>FES1162771687</v>
      </c>
      <c r="C3288" s="2" t="s">
        <v>2138</v>
      </c>
      <c r="D3288" s="2">
        <v>1</v>
      </c>
      <c r="E3288" s="2" t="str">
        <f>"2170758702"</f>
        <v>2170758702</v>
      </c>
      <c r="F3288" s="2" t="s">
        <v>17</v>
      </c>
      <c r="G3288" s="2" t="s">
        <v>18</v>
      </c>
      <c r="H3288" s="2" t="s">
        <v>19</v>
      </c>
      <c r="I3288" s="2" t="s">
        <v>111</v>
      </c>
      <c r="J3288" s="2" t="s">
        <v>1220</v>
      </c>
      <c r="K3288" s="2" t="s">
        <v>2197</v>
      </c>
      <c r="L3288" s="3">
        <v>0.41319444444444442</v>
      </c>
      <c r="M3288" s="2" t="s">
        <v>718</v>
      </c>
      <c r="N3288" s="2" t="s">
        <v>500</v>
      </c>
      <c r="O3288" s="2"/>
    </row>
    <row r="3289" spans="1:15" x14ac:dyDescent="0.25">
      <c r="A3289" s="2" t="s">
        <v>15</v>
      </c>
      <c r="B3289" s="2" t="str">
        <f>"FES1162771709"</f>
        <v>FES1162771709</v>
      </c>
      <c r="C3289" s="2" t="s">
        <v>2138</v>
      </c>
      <c r="D3289" s="2">
        <v>1</v>
      </c>
      <c r="E3289" s="2" t="str">
        <f>"2170758737"</f>
        <v>2170758737</v>
      </c>
      <c r="F3289" s="2" t="s">
        <v>17</v>
      </c>
      <c r="G3289" s="2" t="s">
        <v>18</v>
      </c>
      <c r="H3289" s="2" t="s">
        <v>25</v>
      </c>
      <c r="I3289" s="2" t="s">
        <v>26</v>
      </c>
      <c r="J3289" s="2" t="s">
        <v>75</v>
      </c>
      <c r="K3289" s="2" t="s">
        <v>2197</v>
      </c>
      <c r="L3289" s="3">
        <v>0.34861111111111115</v>
      </c>
      <c r="M3289" s="2" t="s">
        <v>677</v>
      </c>
      <c r="N3289" s="2" t="s">
        <v>500</v>
      </c>
      <c r="O3289" s="2"/>
    </row>
    <row r="3290" spans="1:15" x14ac:dyDescent="0.25">
      <c r="A3290" s="2" t="s">
        <v>15</v>
      </c>
      <c r="B3290" s="2" t="str">
        <f>"FES1162771705"</f>
        <v>FES1162771705</v>
      </c>
      <c r="C3290" s="2" t="s">
        <v>2138</v>
      </c>
      <c r="D3290" s="2">
        <v>1</v>
      </c>
      <c r="E3290" s="2" t="str">
        <f>"2170758732"</f>
        <v>2170758732</v>
      </c>
      <c r="F3290" s="2" t="s">
        <v>17</v>
      </c>
      <c r="G3290" s="2" t="s">
        <v>18</v>
      </c>
      <c r="H3290" s="2" t="s">
        <v>18</v>
      </c>
      <c r="I3290" s="2" t="s">
        <v>63</v>
      </c>
      <c r="J3290" s="2" t="s">
        <v>2206</v>
      </c>
      <c r="K3290" s="2" t="s">
        <v>2197</v>
      </c>
      <c r="L3290" s="3">
        <v>0.35486111111111113</v>
      </c>
      <c r="M3290" s="2" t="s">
        <v>2254</v>
      </c>
      <c r="N3290" s="2" t="s">
        <v>500</v>
      </c>
      <c r="O3290" s="2"/>
    </row>
    <row r="3291" spans="1:15" x14ac:dyDescent="0.25">
      <c r="A3291" s="2" t="s">
        <v>15</v>
      </c>
      <c r="B3291" s="2" t="str">
        <f>"FES1162771713"</f>
        <v>FES1162771713</v>
      </c>
      <c r="C3291" s="2" t="s">
        <v>2138</v>
      </c>
      <c r="D3291" s="2">
        <v>1</v>
      </c>
      <c r="E3291" s="2" t="str">
        <f>"2170758745"</f>
        <v>2170758745</v>
      </c>
      <c r="F3291" s="2" t="s">
        <v>17</v>
      </c>
      <c r="G3291" s="2" t="s">
        <v>18</v>
      </c>
      <c r="H3291" s="2" t="s">
        <v>88</v>
      </c>
      <c r="I3291" s="2" t="s">
        <v>109</v>
      </c>
      <c r="J3291" s="2" t="s">
        <v>780</v>
      </c>
      <c r="K3291" s="2" t="s">
        <v>2197</v>
      </c>
      <c r="L3291" s="3">
        <v>0.54166666666666663</v>
      </c>
      <c r="M3291" s="2" t="s">
        <v>172</v>
      </c>
      <c r="N3291" s="2" t="s">
        <v>500</v>
      </c>
      <c r="O3291" s="2"/>
    </row>
    <row r="3292" spans="1:15" x14ac:dyDescent="0.25">
      <c r="A3292" s="2" t="s">
        <v>15</v>
      </c>
      <c r="B3292" s="2" t="str">
        <f>"FES1162771700"</f>
        <v>FES1162771700</v>
      </c>
      <c r="C3292" s="2" t="s">
        <v>2138</v>
      </c>
      <c r="D3292" s="2">
        <v>1</v>
      </c>
      <c r="E3292" s="2" t="str">
        <f>"2170758724"</f>
        <v>2170758724</v>
      </c>
      <c r="F3292" s="2" t="s">
        <v>17</v>
      </c>
      <c r="G3292" s="2" t="s">
        <v>18</v>
      </c>
      <c r="H3292" s="2" t="s">
        <v>36</v>
      </c>
      <c r="I3292" s="2" t="s">
        <v>134</v>
      </c>
      <c r="J3292" s="2" t="s">
        <v>319</v>
      </c>
      <c r="K3292" s="2" t="s">
        <v>2197</v>
      </c>
      <c r="L3292" s="3">
        <v>0.41666666666666669</v>
      </c>
      <c r="M3292" s="2" t="s">
        <v>989</v>
      </c>
      <c r="N3292" s="2" t="s">
        <v>500</v>
      </c>
      <c r="O3292" s="2"/>
    </row>
    <row r="3293" spans="1:15" x14ac:dyDescent="0.25">
      <c r="A3293" s="2" t="s">
        <v>15</v>
      </c>
      <c r="B3293" s="2" t="str">
        <f>"FES1162771689"</f>
        <v>FES1162771689</v>
      </c>
      <c r="C3293" s="2" t="s">
        <v>2138</v>
      </c>
      <c r="D3293" s="2">
        <v>1</v>
      </c>
      <c r="E3293" s="2" t="str">
        <f>"2170758706"</f>
        <v>2170758706</v>
      </c>
      <c r="F3293" s="2" t="s">
        <v>17</v>
      </c>
      <c r="G3293" s="2" t="s">
        <v>18</v>
      </c>
      <c r="H3293" s="2" t="s">
        <v>18</v>
      </c>
      <c r="I3293" s="2" t="s">
        <v>65</v>
      </c>
      <c r="J3293" s="2" t="s">
        <v>434</v>
      </c>
      <c r="K3293" s="2" t="s">
        <v>2197</v>
      </c>
      <c r="L3293" s="3">
        <v>0.3527777777777778</v>
      </c>
      <c r="M3293" s="2" t="s">
        <v>2255</v>
      </c>
      <c r="N3293" s="2" t="s">
        <v>500</v>
      </c>
      <c r="O3293" s="2"/>
    </row>
    <row r="3294" spans="1:15" x14ac:dyDescent="0.25">
      <c r="A3294" s="2" t="s">
        <v>15</v>
      </c>
      <c r="B3294" s="2" t="str">
        <f>"FES1162771721"</f>
        <v>FES1162771721</v>
      </c>
      <c r="C3294" s="2" t="s">
        <v>2138</v>
      </c>
      <c r="D3294" s="2">
        <v>1</v>
      </c>
      <c r="E3294" s="2" t="str">
        <f>"2170758713"</f>
        <v>2170758713</v>
      </c>
      <c r="F3294" s="2" t="s">
        <v>17</v>
      </c>
      <c r="G3294" s="2" t="s">
        <v>18</v>
      </c>
      <c r="H3294" s="2" t="s">
        <v>18</v>
      </c>
      <c r="I3294" s="2" t="s">
        <v>163</v>
      </c>
      <c r="J3294" s="2" t="s">
        <v>2149</v>
      </c>
      <c r="K3294" s="2" t="s">
        <v>2197</v>
      </c>
      <c r="L3294" s="3">
        <v>0.37847222222222227</v>
      </c>
      <c r="M3294" s="2" t="s">
        <v>2256</v>
      </c>
      <c r="N3294" s="2" t="s">
        <v>500</v>
      </c>
      <c r="O3294" s="2"/>
    </row>
    <row r="3295" spans="1:15" x14ac:dyDescent="0.25">
      <c r="A3295" s="2" t="s">
        <v>15</v>
      </c>
      <c r="B3295" s="2" t="str">
        <f>"FES1162771692"</f>
        <v>FES1162771692</v>
      </c>
      <c r="C3295" s="2" t="s">
        <v>2138</v>
      </c>
      <c r="D3295" s="2">
        <v>1</v>
      </c>
      <c r="E3295" s="2" t="str">
        <f>"2170758711"</f>
        <v>2170758711</v>
      </c>
      <c r="F3295" s="2" t="s">
        <v>17</v>
      </c>
      <c r="G3295" s="2" t="s">
        <v>18</v>
      </c>
      <c r="H3295" s="2" t="s">
        <v>19</v>
      </c>
      <c r="I3295" s="2" t="s">
        <v>111</v>
      </c>
      <c r="J3295" s="2" t="s">
        <v>405</v>
      </c>
      <c r="K3295" s="2" t="s">
        <v>2197</v>
      </c>
      <c r="L3295" s="3">
        <v>0.35486111111111113</v>
      </c>
      <c r="M3295" s="2" t="s">
        <v>714</v>
      </c>
      <c r="N3295" s="2" t="s">
        <v>500</v>
      </c>
      <c r="O3295" s="2"/>
    </row>
    <row r="3296" spans="1:15" x14ac:dyDescent="0.25">
      <c r="A3296" s="2" t="s">
        <v>15</v>
      </c>
      <c r="B3296" s="2" t="str">
        <f>"FES1162771718"</f>
        <v>FES1162771718</v>
      </c>
      <c r="C3296" s="2" t="s">
        <v>2138</v>
      </c>
      <c r="D3296" s="2">
        <v>1</v>
      </c>
      <c r="E3296" s="2" t="str">
        <f>"2170758756"</f>
        <v>2170758756</v>
      </c>
      <c r="F3296" s="2" t="s">
        <v>17</v>
      </c>
      <c r="G3296" s="2" t="s">
        <v>18</v>
      </c>
      <c r="H3296" s="2" t="s">
        <v>18</v>
      </c>
      <c r="I3296" s="2" t="s">
        <v>478</v>
      </c>
      <c r="J3296" s="2" t="s">
        <v>498</v>
      </c>
      <c r="K3296" s="2" t="s">
        <v>2197</v>
      </c>
      <c r="L3296" s="3">
        <v>0.43263888888888885</v>
      </c>
      <c r="M3296" s="2" t="s">
        <v>810</v>
      </c>
      <c r="N3296" s="2" t="s">
        <v>500</v>
      </c>
      <c r="O3296" s="2"/>
    </row>
    <row r="3297" spans="1:15" x14ac:dyDescent="0.25">
      <c r="A3297" s="2" t="s">
        <v>15</v>
      </c>
      <c r="B3297" s="2" t="str">
        <f>"FES1162771683"</f>
        <v>FES1162771683</v>
      </c>
      <c r="C3297" s="2" t="s">
        <v>2138</v>
      </c>
      <c r="D3297" s="2">
        <v>1</v>
      </c>
      <c r="E3297" s="2" t="str">
        <f>"2170758596"</f>
        <v>2170758596</v>
      </c>
      <c r="F3297" s="2" t="s">
        <v>17</v>
      </c>
      <c r="G3297" s="2" t="s">
        <v>18</v>
      </c>
      <c r="H3297" s="2" t="s">
        <v>18</v>
      </c>
      <c r="I3297" s="2" t="s">
        <v>63</v>
      </c>
      <c r="J3297" s="2" t="s">
        <v>1670</v>
      </c>
      <c r="K3297" s="2" t="s">
        <v>2197</v>
      </c>
      <c r="L3297" s="3">
        <v>0.35138888888888892</v>
      </c>
      <c r="M3297" s="2" t="s">
        <v>2257</v>
      </c>
      <c r="N3297" s="2" t="s">
        <v>500</v>
      </c>
      <c r="O3297" s="2"/>
    </row>
    <row r="3298" spans="1:15" x14ac:dyDescent="0.25">
      <c r="A3298" s="2" t="s">
        <v>15</v>
      </c>
      <c r="B3298" s="2" t="str">
        <f>"FES1162771706"</f>
        <v>FES1162771706</v>
      </c>
      <c r="C3298" s="2" t="s">
        <v>2138</v>
      </c>
      <c r="D3298" s="2">
        <v>1</v>
      </c>
      <c r="E3298" s="2" t="str">
        <f>"2170758733"</f>
        <v>2170758733</v>
      </c>
      <c r="F3298" s="2" t="s">
        <v>17</v>
      </c>
      <c r="G3298" s="2" t="s">
        <v>18</v>
      </c>
      <c r="H3298" s="2" t="s">
        <v>18</v>
      </c>
      <c r="I3298" s="2" t="s">
        <v>50</v>
      </c>
      <c r="J3298" s="2" t="s">
        <v>285</v>
      </c>
      <c r="K3298" s="2" t="s">
        <v>2197</v>
      </c>
      <c r="L3298" s="3">
        <v>0.33333333333333331</v>
      </c>
      <c r="M3298" s="2" t="s">
        <v>2009</v>
      </c>
      <c r="N3298" s="2" t="s">
        <v>500</v>
      </c>
      <c r="O3298" s="2"/>
    </row>
    <row r="3299" spans="1:15" x14ac:dyDescent="0.25">
      <c r="A3299" s="2" t="s">
        <v>15</v>
      </c>
      <c r="B3299" s="2" t="str">
        <f>"FES1162771744"</f>
        <v>FES1162771744</v>
      </c>
      <c r="C3299" s="2" t="s">
        <v>2138</v>
      </c>
      <c r="D3299" s="2">
        <v>1</v>
      </c>
      <c r="E3299" s="2" t="str">
        <f>"2170758790"</f>
        <v>2170758790</v>
      </c>
      <c r="F3299" s="2" t="s">
        <v>17</v>
      </c>
      <c r="G3299" s="2" t="s">
        <v>18</v>
      </c>
      <c r="H3299" s="2" t="s">
        <v>25</v>
      </c>
      <c r="I3299" s="2" t="s">
        <v>125</v>
      </c>
      <c r="J3299" s="2" t="s">
        <v>126</v>
      </c>
      <c r="K3299" s="2" t="s">
        <v>2197</v>
      </c>
      <c r="L3299" s="3">
        <v>0.52708333333333335</v>
      </c>
      <c r="M3299" s="2" t="s">
        <v>235</v>
      </c>
      <c r="N3299" s="2" t="s">
        <v>500</v>
      </c>
      <c r="O3299" s="2"/>
    </row>
    <row r="3300" spans="1:15" x14ac:dyDescent="0.25">
      <c r="A3300" s="2" t="s">
        <v>15</v>
      </c>
      <c r="B3300" s="2" t="str">
        <f>"FES1162771773"</f>
        <v>FES1162771773</v>
      </c>
      <c r="C3300" s="2" t="s">
        <v>2138</v>
      </c>
      <c r="D3300" s="2">
        <v>1</v>
      </c>
      <c r="E3300" s="2" t="str">
        <f>"2170758815"</f>
        <v>2170758815</v>
      </c>
      <c r="F3300" s="2" t="s">
        <v>17</v>
      </c>
      <c r="G3300" s="2" t="s">
        <v>18</v>
      </c>
      <c r="H3300" s="2" t="s">
        <v>18</v>
      </c>
      <c r="I3300" s="2" t="s">
        <v>63</v>
      </c>
      <c r="J3300" s="2" t="s">
        <v>1751</v>
      </c>
      <c r="K3300" s="2" t="s">
        <v>2197</v>
      </c>
      <c r="L3300" s="3">
        <v>0.35347222222222219</v>
      </c>
      <c r="M3300" s="2" t="s">
        <v>1752</v>
      </c>
      <c r="N3300" s="2" t="s">
        <v>500</v>
      </c>
      <c r="O3300" s="2"/>
    </row>
    <row r="3301" spans="1:15" x14ac:dyDescent="0.25">
      <c r="A3301" s="2" t="s">
        <v>15</v>
      </c>
      <c r="B3301" s="2" t="str">
        <f>"FES1162771691"</f>
        <v>FES1162771691</v>
      </c>
      <c r="C3301" s="2" t="s">
        <v>2138</v>
      </c>
      <c r="D3301" s="2">
        <v>1</v>
      </c>
      <c r="E3301" s="2" t="str">
        <f>"2170758710"</f>
        <v>2170758710</v>
      </c>
      <c r="F3301" s="2" t="s">
        <v>17</v>
      </c>
      <c r="G3301" s="2" t="s">
        <v>18</v>
      </c>
      <c r="H3301" s="2" t="s">
        <v>19</v>
      </c>
      <c r="I3301" s="2" t="s">
        <v>114</v>
      </c>
      <c r="J3301" s="2" t="s">
        <v>66</v>
      </c>
      <c r="K3301" s="2" t="s">
        <v>2197</v>
      </c>
      <c r="L3301" s="3">
        <v>0.4680555555555555</v>
      </c>
      <c r="M3301" s="2" t="s">
        <v>2258</v>
      </c>
      <c r="N3301" s="2" t="s">
        <v>500</v>
      </c>
      <c r="O3301" s="2"/>
    </row>
    <row r="3302" spans="1:15" x14ac:dyDescent="0.25">
      <c r="A3302" s="2" t="s">
        <v>15</v>
      </c>
      <c r="B3302" s="2" t="str">
        <f>"FES1162771740"</f>
        <v>FES1162771740</v>
      </c>
      <c r="C3302" s="2" t="s">
        <v>2138</v>
      </c>
      <c r="D3302" s="2">
        <v>1</v>
      </c>
      <c r="E3302" s="2" t="str">
        <f>"2170758787"</f>
        <v>2170758787</v>
      </c>
      <c r="F3302" s="2" t="s">
        <v>17</v>
      </c>
      <c r="G3302" s="2" t="s">
        <v>18</v>
      </c>
      <c r="H3302" s="2" t="s">
        <v>25</v>
      </c>
      <c r="I3302" s="2" t="s">
        <v>125</v>
      </c>
      <c r="J3302" s="2" t="s">
        <v>126</v>
      </c>
      <c r="K3302" s="2" t="s">
        <v>2197</v>
      </c>
      <c r="L3302" s="3">
        <v>0.52638888888888891</v>
      </c>
      <c r="M3302" s="2" t="s">
        <v>235</v>
      </c>
      <c r="N3302" s="2" t="s">
        <v>500</v>
      </c>
      <c r="O3302" s="2"/>
    </row>
    <row r="3303" spans="1:15" x14ac:dyDescent="0.25">
      <c r="A3303" s="2" t="s">
        <v>15</v>
      </c>
      <c r="B3303" s="2" t="str">
        <f>"FES1162771686"</f>
        <v>FES1162771686</v>
      </c>
      <c r="C3303" s="2" t="s">
        <v>2138</v>
      </c>
      <c r="D3303" s="2">
        <v>1</v>
      </c>
      <c r="E3303" s="2" t="str">
        <f>"2170758673"</f>
        <v>2170758673</v>
      </c>
      <c r="F3303" s="2" t="s">
        <v>17</v>
      </c>
      <c r="G3303" s="2" t="s">
        <v>18</v>
      </c>
      <c r="H3303" s="2" t="s">
        <v>18</v>
      </c>
      <c r="I3303" s="2" t="s">
        <v>116</v>
      </c>
      <c r="J3303" s="2" t="s">
        <v>2067</v>
      </c>
      <c r="K3303" s="2" t="s">
        <v>2197</v>
      </c>
      <c r="L3303" s="3">
        <v>0.43055555555555558</v>
      </c>
      <c r="M3303" s="2" t="s">
        <v>2259</v>
      </c>
      <c r="N3303" s="2" t="s">
        <v>500</v>
      </c>
      <c r="O3303" s="2"/>
    </row>
    <row r="3304" spans="1:15" x14ac:dyDescent="0.25">
      <c r="A3304" s="2" t="s">
        <v>15</v>
      </c>
      <c r="B3304" s="2" t="str">
        <f>"FES1162771699"</f>
        <v>FES1162771699</v>
      </c>
      <c r="C3304" s="2" t="s">
        <v>2138</v>
      </c>
      <c r="D3304" s="2">
        <v>1</v>
      </c>
      <c r="E3304" s="2" t="str">
        <f>"2170758719"</f>
        <v>2170758719</v>
      </c>
      <c r="F3304" s="2" t="s">
        <v>17</v>
      </c>
      <c r="G3304" s="2" t="s">
        <v>18</v>
      </c>
      <c r="H3304" s="2" t="s">
        <v>88</v>
      </c>
      <c r="I3304" s="2" t="s">
        <v>612</v>
      </c>
      <c r="J3304" s="2" t="s">
        <v>613</v>
      </c>
      <c r="K3304" s="2" t="s">
        <v>2197</v>
      </c>
      <c r="L3304" s="3">
        <v>0.6166666666666667</v>
      </c>
      <c r="M3304" s="2" t="s">
        <v>683</v>
      </c>
      <c r="N3304" s="2" t="s">
        <v>500</v>
      </c>
      <c r="O3304" s="2"/>
    </row>
    <row r="3305" spans="1:15" x14ac:dyDescent="0.25">
      <c r="A3305" s="2" t="s">
        <v>15</v>
      </c>
      <c r="B3305" s="2" t="str">
        <f>"FES1162771704"</f>
        <v>FES1162771704</v>
      </c>
      <c r="C3305" s="2" t="s">
        <v>2138</v>
      </c>
      <c r="D3305" s="2">
        <v>1</v>
      </c>
      <c r="E3305" s="2" t="str">
        <f>"2170758731"</f>
        <v>2170758731</v>
      </c>
      <c r="F3305" s="2" t="s">
        <v>17</v>
      </c>
      <c r="G3305" s="2" t="s">
        <v>18</v>
      </c>
      <c r="H3305" s="2" t="s">
        <v>25</v>
      </c>
      <c r="I3305" s="2" t="s">
        <v>42</v>
      </c>
      <c r="J3305" s="2" t="s">
        <v>43</v>
      </c>
      <c r="K3305" s="2" t="s">
        <v>2197</v>
      </c>
      <c r="L3305" s="3">
        <v>0.50902777777777775</v>
      </c>
      <c r="M3305" s="2" t="s">
        <v>180</v>
      </c>
      <c r="N3305" s="2" t="s">
        <v>500</v>
      </c>
      <c r="O3305" s="2"/>
    </row>
    <row r="3306" spans="1:15" x14ac:dyDescent="0.25">
      <c r="A3306" s="2" t="s">
        <v>15</v>
      </c>
      <c r="B3306" s="2" t="str">
        <f>"FES1162771766"</f>
        <v>FES1162771766</v>
      </c>
      <c r="C3306" s="2" t="s">
        <v>2138</v>
      </c>
      <c r="D3306" s="2">
        <v>1</v>
      </c>
      <c r="E3306" s="2" t="str">
        <f>"2170758793"</f>
        <v>2170758793</v>
      </c>
      <c r="F3306" s="2" t="s">
        <v>17</v>
      </c>
      <c r="G3306" s="2" t="s">
        <v>18</v>
      </c>
      <c r="H3306" s="2" t="s">
        <v>25</v>
      </c>
      <c r="I3306" s="2" t="s">
        <v>26</v>
      </c>
      <c r="J3306" s="2" t="s">
        <v>1118</v>
      </c>
      <c r="K3306" s="2" t="s">
        <v>2197</v>
      </c>
      <c r="L3306" s="3">
        <v>0.4375</v>
      </c>
      <c r="M3306" s="2" t="s">
        <v>1493</v>
      </c>
      <c r="N3306" s="2" t="s">
        <v>500</v>
      </c>
      <c r="O3306" s="2"/>
    </row>
    <row r="3307" spans="1:15" x14ac:dyDescent="0.25">
      <c r="A3307" s="2" t="s">
        <v>15</v>
      </c>
      <c r="B3307" s="2" t="str">
        <f>"FES1162771722"</f>
        <v>FES1162771722</v>
      </c>
      <c r="C3307" s="2" t="s">
        <v>2138</v>
      </c>
      <c r="D3307" s="2">
        <v>1</v>
      </c>
      <c r="E3307" s="2" t="str">
        <f>"2170758742"</f>
        <v>2170758742</v>
      </c>
      <c r="F3307" s="2" t="s">
        <v>17</v>
      </c>
      <c r="G3307" s="2" t="s">
        <v>18</v>
      </c>
      <c r="H3307" s="2" t="s">
        <v>617</v>
      </c>
      <c r="I3307" s="2" t="s">
        <v>618</v>
      </c>
      <c r="J3307" s="2" t="s">
        <v>2207</v>
      </c>
      <c r="K3307" s="2" t="s">
        <v>2197</v>
      </c>
      <c r="L3307" s="3">
        <v>0.47569444444444442</v>
      </c>
      <c r="M3307" s="2" t="s">
        <v>2260</v>
      </c>
      <c r="N3307" s="2" t="s">
        <v>500</v>
      </c>
      <c r="O3307" s="2"/>
    </row>
    <row r="3308" spans="1:15" x14ac:dyDescent="0.25">
      <c r="A3308" s="2" t="s">
        <v>15</v>
      </c>
      <c r="B3308" s="2" t="str">
        <f>"FES1162771786"</f>
        <v>FES1162771786</v>
      </c>
      <c r="C3308" s="2" t="s">
        <v>2138</v>
      </c>
      <c r="D3308" s="2">
        <v>1</v>
      </c>
      <c r="E3308" s="2" t="str">
        <f>"2170758834"</f>
        <v>2170758834</v>
      </c>
      <c r="F3308" s="2" t="s">
        <v>17</v>
      </c>
      <c r="G3308" s="2" t="s">
        <v>18</v>
      </c>
      <c r="H3308" s="2" t="s">
        <v>25</v>
      </c>
      <c r="I3308" s="2" t="s">
        <v>26</v>
      </c>
      <c r="J3308" s="2" t="s">
        <v>75</v>
      </c>
      <c r="K3308" s="2" t="s">
        <v>2197</v>
      </c>
      <c r="L3308" s="3">
        <v>0.34930555555555554</v>
      </c>
      <c r="M3308" s="2" t="s">
        <v>677</v>
      </c>
      <c r="N3308" s="2" t="s">
        <v>500</v>
      </c>
      <c r="O3308" s="2"/>
    </row>
    <row r="3309" spans="1:15" x14ac:dyDescent="0.25">
      <c r="A3309" s="2" t="s">
        <v>15</v>
      </c>
      <c r="B3309" s="2" t="str">
        <f>"FES1162771758"</f>
        <v>FES1162771758</v>
      </c>
      <c r="C3309" s="2" t="s">
        <v>2138</v>
      </c>
      <c r="D3309" s="2">
        <v>1</v>
      </c>
      <c r="E3309" s="2" t="str">
        <f>"2170758799"</f>
        <v>2170758799</v>
      </c>
      <c r="F3309" s="2" t="s">
        <v>17</v>
      </c>
      <c r="G3309" s="2" t="s">
        <v>18</v>
      </c>
      <c r="H3309" s="2" t="s">
        <v>19</v>
      </c>
      <c r="I3309" s="2" t="s">
        <v>136</v>
      </c>
      <c r="J3309" s="2" t="s">
        <v>137</v>
      </c>
      <c r="K3309" s="2" t="s">
        <v>2197</v>
      </c>
      <c r="L3309" s="3">
        <v>0.47847222222222219</v>
      </c>
      <c r="M3309" s="2" t="s">
        <v>233</v>
      </c>
      <c r="N3309" s="2" t="s">
        <v>500</v>
      </c>
      <c r="O3309" s="2"/>
    </row>
    <row r="3310" spans="1:15" x14ac:dyDescent="0.25">
      <c r="A3310" s="2" t="s">
        <v>15</v>
      </c>
      <c r="B3310" s="2" t="str">
        <f>"FES1162771743"</f>
        <v>FES1162771743</v>
      </c>
      <c r="C3310" s="2" t="s">
        <v>2138</v>
      </c>
      <c r="D3310" s="2">
        <v>1</v>
      </c>
      <c r="E3310" s="2" t="str">
        <f>"2170758789"</f>
        <v>2170758789</v>
      </c>
      <c r="F3310" s="2" t="s">
        <v>17</v>
      </c>
      <c r="G3310" s="2" t="s">
        <v>18</v>
      </c>
      <c r="H3310" s="2" t="s">
        <v>19</v>
      </c>
      <c r="I3310" s="2" t="s">
        <v>20</v>
      </c>
      <c r="J3310" s="2" t="s">
        <v>327</v>
      </c>
      <c r="K3310" s="2" t="s">
        <v>2197</v>
      </c>
      <c r="L3310" s="3">
        <v>0.35486111111111113</v>
      </c>
      <c r="M3310" s="2" t="s">
        <v>1344</v>
      </c>
      <c r="N3310" s="2" t="s">
        <v>500</v>
      </c>
      <c r="O3310" s="2"/>
    </row>
    <row r="3311" spans="1:15" x14ac:dyDescent="0.25">
      <c r="A3311" s="2" t="s">
        <v>15</v>
      </c>
      <c r="B3311" s="2" t="str">
        <f>"FES1162771738"</f>
        <v>FES1162771738</v>
      </c>
      <c r="C3311" s="2" t="s">
        <v>2138</v>
      </c>
      <c r="D3311" s="2">
        <v>1</v>
      </c>
      <c r="E3311" s="2" t="str">
        <f>"2170756461"</f>
        <v>2170756461</v>
      </c>
      <c r="F3311" s="2" t="s">
        <v>17</v>
      </c>
      <c r="G3311" s="2" t="s">
        <v>18</v>
      </c>
      <c r="H3311" s="2" t="s">
        <v>36</v>
      </c>
      <c r="I3311" s="2" t="s">
        <v>37</v>
      </c>
      <c r="J3311" s="2" t="s">
        <v>1421</v>
      </c>
      <c r="K3311" s="2" t="s">
        <v>2197</v>
      </c>
      <c r="L3311" s="3">
        <v>0.36805555555555558</v>
      </c>
      <c r="M3311" s="2" t="s">
        <v>2170</v>
      </c>
      <c r="N3311" s="2" t="s">
        <v>500</v>
      </c>
      <c r="O3311" s="2"/>
    </row>
    <row r="3312" spans="1:15" x14ac:dyDescent="0.25">
      <c r="A3312" s="2" t="s">
        <v>15</v>
      </c>
      <c r="B3312" s="2" t="str">
        <f>"FES1162771701"</f>
        <v>FES1162771701</v>
      </c>
      <c r="C3312" s="2" t="s">
        <v>2138</v>
      </c>
      <c r="D3312" s="2">
        <v>1</v>
      </c>
      <c r="E3312" s="2" t="str">
        <f>"2170758725"</f>
        <v>2170758725</v>
      </c>
      <c r="F3312" s="2" t="s">
        <v>17</v>
      </c>
      <c r="G3312" s="2" t="s">
        <v>18</v>
      </c>
      <c r="H3312" s="2" t="s">
        <v>36</v>
      </c>
      <c r="I3312" s="2" t="s">
        <v>37</v>
      </c>
      <c r="J3312" s="2" t="s">
        <v>102</v>
      </c>
      <c r="K3312" s="2" t="s">
        <v>2197</v>
      </c>
      <c r="L3312" s="3">
        <v>0.39999999999999997</v>
      </c>
      <c r="M3312" s="2" t="s">
        <v>219</v>
      </c>
      <c r="N3312" s="2" t="s">
        <v>500</v>
      </c>
      <c r="O3312" s="2"/>
    </row>
    <row r="3313" spans="1:15" x14ac:dyDescent="0.25">
      <c r="A3313" s="2" t="s">
        <v>15</v>
      </c>
      <c r="B3313" s="2" t="str">
        <f>"FES1162771724"</f>
        <v>FES1162771724</v>
      </c>
      <c r="C3313" s="2" t="s">
        <v>2138</v>
      </c>
      <c r="D3313" s="2">
        <v>1</v>
      </c>
      <c r="E3313" s="2" t="str">
        <f>"2170757405"</f>
        <v>2170757405</v>
      </c>
      <c r="F3313" s="2" t="s">
        <v>17</v>
      </c>
      <c r="G3313" s="2" t="s">
        <v>18</v>
      </c>
      <c r="H3313" s="2" t="s">
        <v>36</v>
      </c>
      <c r="I3313" s="2" t="s">
        <v>37</v>
      </c>
      <c r="J3313" s="2" t="s">
        <v>162</v>
      </c>
      <c r="K3313" s="2" t="s">
        <v>2197</v>
      </c>
      <c r="L3313" s="3">
        <v>0.3888888888888889</v>
      </c>
      <c r="M3313" s="2" t="s">
        <v>268</v>
      </c>
      <c r="N3313" s="2" t="s">
        <v>500</v>
      </c>
      <c r="O3313" s="2"/>
    </row>
    <row r="3314" spans="1:15" x14ac:dyDescent="0.25">
      <c r="A3314" s="2" t="s">
        <v>15</v>
      </c>
      <c r="B3314" s="2" t="str">
        <f>"FES1162771780"</f>
        <v>FES1162771780</v>
      </c>
      <c r="C3314" s="2" t="s">
        <v>2138</v>
      </c>
      <c r="D3314" s="2">
        <v>1</v>
      </c>
      <c r="E3314" s="2" t="str">
        <f>"2170758826"</f>
        <v>2170758826</v>
      </c>
      <c r="F3314" s="2" t="s">
        <v>17</v>
      </c>
      <c r="G3314" s="2" t="s">
        <v>18</v>
      </c>
      <c r="H3314" s="2" t="s">
        <v>25</v>
      </c>
      <c r="I3314" s="2" t="s">
        <v>42</v>
      </c>
      <c r="J3314" s="2" t="s">
        <v>416</v>
      </c>
      <c r="K3314" s="2" t="s">
        <v>2197</v>
      </c>
      <c r="L3314" s="3">
        <v>0.50416666666666665</v>
      </c>
      <c r="M3314" s="2" t="s">
        <v>517</v>
      </c>
      <c r="N3314" s="2" t="s">
        <v>500</v>
      </c>
      <c r="O3314" s="2"/>
    </row>
    <row r="3315" spans="1:15" x14ac:dyDescent="0.25">
      <c r="A3315" s="2" t="s">
        <v>15</v>
      </c>
      <c r="B3315" s="2" t="str">
        <f>"FES1162771693"</f>
        <v>FES1162771693</v>
      </c>
      <c r="C3315" s="2" t="s">
        <v>2138</v>
      </c>
      <c r="D3315" s="2">
        <v>1</v>
      </c>
      <c r="E3315" s="2" t="str">
        <f>"2170758712"</f>
        <v>2170758712</v>
      </c>
      <c r="F3315" s="2" t="s">
        <v>17</v>
      </c>
      <c r="G3315" s="2" t="s">
        <v>18</v>
      </c>
      <c r="H3315" s="2" t="s">
        <v>36</v>
      </c>
      <c r="I3315" s="2" t="s">
        <v>37</v>
      </c>
      <c r="J3315" s="2" t="s">
        <v>55</v>
      </c>
      <c r="K3315" s="2" t="s">
        <v>2197</v>
      </c>
      <c r="L3315" s="3">
        <v>0.35347222222222219</v>
      </c>
      <c r="M3315" s="2" t="s">
        <v>305</v>
      </c>
      <c r="N3315" s="2" t="s">
        <v>500</v>
      </c>
      <c r="O3315" s="2"/>
    </row>
    <row r="3316" spans="1:15" x14ac:dyDescent="0.25">
      <c r="A3316" s="2" t="s">
        <v>15</v>
      </c>
      <c r="B3316" s="2" t="str">
        <f>"FES1162771781"</f>
        <v>FES1162771781</v>
      </c>
      <c r="C3316" s="2" t="s">
        <v>2138</v>
      </c>
      <c r="D3316" s="2">
        <v>2</v>
      </c>
      <c r="E3316" s="2" t="str">
        <f>"2170756822"</f>
        <v>2170756822</v>
      </c>
      <c r="F3316" s="2" t="s">
        <v>17</v>
      </c>
      <c r="G3316" s="2" t="s">
        <v>18</v>
      </c>
      <c r="H3316" s="2" t="s">
        <v>25</v>
      </c>
      <c r="I3316" s="2" t="s">
        <v>26</v>
      </c>
      <c r="J3316" s="2" t="s">
        <v>433</v>
      </c>
      <c r="K3316" s="2" t="s">
        <v>2197</v>
      </c>
      <c r="L3316" s="3">
        <v>0.30833333333333335</v>
      </c>
      <c r="M3316" s="2" t="s">
        <v>56</v>
      </c>
      <c r="N3316" s="2" t="s">
        <v>500</v>
      </c>
      <c r="O3316" s="2"/>
    </row>
    <row r="3317" spans="1:15" x14ac:dyDescent="0.25">
      <c r="A3317" s="2" t="s">
        <v>15</v>
      </c>
      <c r="B3317" s="2" t="str">
        <f>"FES1162771782"</f>
        <v>FES1162771782</v>
      </c>
      <c r="C3317" s="2" t="s">
        <v>2138</v>
      </c>
      <c r="D3317" s="2">
        <v>1</v>
      </c>
      <c r="E3317" s="2" t="str">
        <f>"2170758828"</f>
        <v>2170758828</v>
      </c>
      <c r="F3317" s="2" t="s">
        <v>17</v>
      </c>
      <c r="G3317" s="2" t="s">
        <v>18</v>
      </c>
      <c r="H3317" s="2" t="s">
        <v>25</v>
      </c>
      <c r="I3317" s="2" t="s">
        <v>26</v>
      </c>
      <c r="J3317" s="2" t="s">
        <v>474</v>
      </c>
      <c r="K3317" s="2" t="s">
        <v>2197</v>
      </c>
      <c r="L3317" s="3">
        <v>0.41666666666666669</v>
      </c>
      <c r="M3317" s="2" t="s">
        <v>1252</v>
      </c>
      <c r="N3317" s="2" t="s">
        <v>500</v>
      </c>
      <c r="O3317" s="2"/>
    </row>
    <row r="3318" spans="1:15" x14ac:dyDescent="0.25">
      <c r="A3318" s="2" t="s">
        <v>15</v>
      </c>
      <c r="B3318" s="2" t="str">
        <f>"FES1162771768"</f>
        <v>FES1162771768</v>
      </c>
      <c r="C3318" s="2" t="s">
        <v>2138</v>
      </c>
      <c r="D3318" s="2">
        <v>1</v>
      </c>
      <c r="E3318" s="2" t="str">
        <f>"2170758811"</f>
        <v>2170758811</v>
      </c>
      <c r="F3318" s="2" t="s">
        <v>17</v>
      </c>
      <c r="G3318" s="2" t="s">
        <v>18</v>
      </c>
      <c r="H3318" s="2" t="s">
        <v>18</v>
      </c>
      <c r="I3318" s="2" t="s">
        <v>46</v>
      </c>
      <c r="J3318" s="2" t="s">
        <v>59</v>
      </c>
      <c r="K3318" s="2" t="s">
        <v>2197</v>
      </c>
      <c r="L3318" s="3">
        <v>0.35416666666666669</v>
      </c>
      <c r="M3318" s="2" t="s">
        <v>60</v>
      </c>
      <c r="N3318" s="2" t="s">
        <v>500</v>
      </c>
      <c r="O3318" s="2"/>
    </row>
    <row r="3319" spans="1:15" x14ac:dyDescent="0.25">
      <c r="A3319" s="2" t="s">
        <v>15</v>
      </c>
      <c r="B3319" s="2" t="str">
        <f>"FES1162771762"</f>
        <v>FES1162771762</v>
      </c>
      <c r="C3319" s="2" t="s">
        <v>2138</v>
      </c>
      <c r="D3319" s="2">
        <v>1</v>
      </c>
      <c r="E3319" s="2" t="str">
        <f>"2170758806"</f>
        <v>2170758806</v>
      </c>
      <c r="F3319" s="2" t="s">
        <v>17</v>
      </c>
      <c r="G3319" s="2" t="s">
        <v>18</v>
      </c>
      <c r="H3319" s="2" t="s">
        <v>18</v>
      </c>
      <c r="I3319" s="2" t="s">
        <v>116</v>
      </c>
      <c r="J3319" s="2" t="s">
        <v>493</v>
      </c>
      <c r="K3319" s="2" t="s">
        <v>2197</v>
      </c>
      <c r="L3319" s="3">
        <v>0.43124999999999997</v>
      </c>
      <c r="M3319" s="2" t="s">
        <v>1654</v>
      </c>
      <c r="N3319" s="2" t="s">
        <v>500</v>
      </c>
      <c r="O3319" s="2"/>
    </row>
    <row r="3320" spans="1:15" x14ac:dyDescent="0.25">
      <c r="A3320" s="2" t="s">
        <v>15</v>
      </c>
      <c r="B3320" s="2" t="str">
        <f>"FES1162771753"</f>
        <v>FES1162771753</v>
      </c>
      <c r="C3320" s="2" t="s">
        <v>2138</v>
      </c>
      <c r="D3320" s="2">
        <v>1</v>
      </c>
      <c r="E3320" s="2" t="str">
        <f>"2170758382"</f>
        <v>2170758382</v>
      </c>
      <c r="F3320" s="2" t="s">
        <v>17</v>
      </c>
      <c r="G3320" s="2" t="s">
        <v>18</v>
      </c>
      <c r="H3320" s="2" t="s">
        <v>18</v>
      </c>
      <c r="I3320" s="2" t="s">
        <v>459</v>
      </c>
      <c r="J3320" s="2" t="s">
        <v>460</v>
      </c>
      <c r="K3320" s="2" t="s">
        <v>2197</v>
      </c>
      <c r="L3320" s="3">
        <v>0.35416666666666669</v>
      </c>
      <c r="M3320" s="2" t="s">
        <v>567</v>
      </c>
      <c r="N3320" s="2" t="s">
        <v>500</v>
      </c>
      <c r="O3320" s="2"/>
    </row>
    <row r="3321" spans="1:15" s="4" customFormat="1" x14ac:dyDescent="0.25">
      <c r="A3321" s="17" t="s">
        <v>15</v>
      </c>
      <c r="B3321" s="17" t="str">
        <f>"FES1162771777"</f>
        <v>FES1162771777</v>
      </c>
      <c r="C3321" s="17" t="s">
        <v>2138</v>
      </c>
      <c r="D3321" s="17">
        <v>1</v>
      </c>
      <c r="E3321" s="17" t="str">
        <f>"2170758805"</f>
        <v>2170758805</v>
      </c>
      <c r="F3321" s="17" t="s">
        <v>17</v>
      </c>
      <c r="G3321" s="17" t="s">
        <v>18</v>
      </c>
      <c r="H3321" s="17" t="s">
        <v>484</v>
      </c>
      <c r="I3321" s="17" t="s">
        <v>675</v>
      </c>
      <c r="J3321" s="17" t="s">
        <v>2208</v>
      </c>
      <c r="K3321" s="17" t="s">
        <v>2356</v>
      </c>
      <c r="L3321" s="17"/>
      <c r="M3321" s="17" t="s">
        <v>23</v>
      </c>
      <c r="N3321" s="17" t="s">
        <v>2376</v>
      </c>
      <c r="O3321" s="17" t="s">
        <v>2375</v>
      </c>
    </row>
    <row r="3322" spans="1:15" x14ac:dyDescent="0.25">
      <c r="A3322" s="2" t="s">
        <v>15</v>
      </c>
      <c r="B3322" s="2" t="str">
        <f>"FES1162771754"</f>
        <v>FES1162771754</v>
      </c>
      <c r="C3322" s="2" t="s">
        <v>2138</v>
      </c>
      <c r="D3322" s="2">
        <v>1</v>
      </c>
      <c r="E3322" s="2" t="str">
        <f>"2170758768"</f>
        <v>2170758768</v>
      </c>
      <c r="F3322" s="2" t="s">
        <v>17</v>
      </c>
      <c r="G3322" s="2" t="s">
        <v>18</v>
      </c>
      <c r="H3322" s="2" t="s">
        <v>36</v>
      </c>
      <c r="I3322" s="2" t="s">
        <v>37</v>
      </c>
      <c r="J3322" s="2" t="s">
        <v>102</v>
      </c>
      <c r="K3322" s="2" t="s">
        <v>2197</v>
      </c>
      <c r="L3322" s="3">
        <v>0.39861111111111108</v>
      </c>
      <c r="M3322" s="2" t="s">
        <v>2261</v>
      </c>
      <c r="N3322" s="2" t="s">
        <v>500</v>
      </c>
      <c r="O3322" s="2"/>
    </row>
    <row r="3323" spans="1:15" x14ac:dyDescent="0.25">
      <c r="A3323" s="2" t="s">
        <v>15</v>
      </c>
      <c r="B3323" s="2" t="str">
        <f>"FES1162771755"</f>
        <v>FES1162771755</v>
      </c>
      <c r="C3323" s="2" t="s">
        <v>2138</v>
      </c>
      <c r="D3323" s="2">
        <v>1</v>
      </c>
      <c r="E3323" s="2" t="str">
        <f>"2170758769"</f>
        <v>2170758769</v>
      </c>
      <c r="F3323" s="2" t="s">
        <v>17</v>
      </c>
      <c r="G3323" s="2" t="s">
        <v>18</v>
      </c>
      <c r="H3323" s="2" t="s">
        <v>36</v>
      </c>
      <c r="I3323" s="2" t="s">
        <v>37</v>
      </c>
      <c r="J3323" s="2" t="s">
        <v>102</v>
      </c>
      <c r="K3323" s="2" t="s">
        <v>2197</v>
      </c>
      <c r="L3323" s="3">
        <v>0.40138888888888885</v>
      </c>
      <c r="M3323" s="2" t="s">
        <v>219</v>
      </c>
      <c r="N3323" s="2" t="s">
        <v>500</v>
      </c>
      <c r="O3323" s="2"/>
    </row>
    <row r="3324" spans="1:15" x14ac:dyDescent="0.25">
      <c r="A3324" s="2" t="s">
        <v>15</v>
      </c>
      <c r="B3324" s="2" t="str">
        <f>"FES1162771793"</f>
        <v>FES1162771793</v>
      </c>
      <c r="C3324" s="2" t="s">
        <v>2138</v>
      </c>
      <c r="D3324" s="2">
        <v>1</v>
      </c>
      <c r="E3324" s="2" t="str">
        <f>"2170758842"</f>
        <v>2170758842</v>
      </c>
      <c r="F3324" s="2" t="s">
        <v>17</v>
      </c>
      <c r="G3324" s="2" t="s">
        <v>18</v>
      </c>
      <c r="H3324" s="2" t="s">
        <v>25</v>
      </c>
      <c r="I3324" s="2" t="s">
        <v>26</v>
      </c>
      <c r="J3324" s="2" t="s">
        <v>27</v>
      </c>
      <c r="K3324" s="2" t="s">
        <v>2197</v>
      </c>
      <c r="L3324" s="3">
        <v>0.41597222222222219</v>
      </c>
      <c r="M3324" s="2" t="s">
        <v>521</v>
      </c>
      <c r="N3324" s="2" t="s">
        <v>500</v>
      </c>
      <c r="O3324" s="2"/>
    </row>
    <row r="3325" spans="1:15" x14ac:dyDescent="0.25">
      <c r="A3325" s="2" t="s">
        <v>15</v>
      </c>
      <c r="B3325" s="2" t="str">
        <f>"FES1162771798"</f>
        <v>FES1162771798</v>
      </c>
      <c r="C3325" s="2" t="s">
        <v>2138</v>
      </c>
      <c r="D3325" s="2">
        <v>1</v>
      </c>
      <c r="E3325" s="2" t="str">
        <f>"2170758835"</f>
        <v>2170758835</v>
      </c>
      <c r="F3325" s="2" t="s">
        <v>17</v>
      </c>
      <c r="G3325" s="2" t="s">
        <v>18</v>
      </c>
      <c r="H3325" s="2" t="s">
        <v>25</v>
      </c>
      <c r="I3325" s="2" t="s">
        <v>26</v>
      </c>
      <c r="J3325" s="2" t="s">
        <v>1118</v>
      </c>
      <c r="K3325" s="2" t="s">
        <v>2197</v>
      </c>
      <c r="L3325" s="3">
        <v>0.4375</v>
      </c>
      <c r="M3325" s="2" t="s">
        <v>1493</v>
      </c>
      <c r="N3325" s="2" t="s">
        <v>500</v>
      </c>
      <c r="O3325" s="2"/>
    </row>
    <row r="3326" spans="1:15" x14ac:dyDescent="0.25">
      <c r="A3326" s="2" t="s">
        <v>15</v>
      </c>
      <c r="B3326" s="2" t="str">
        <f>"FES1162771785"</f>
        <v>FES1162771785</v>
      </c>
      <c r="C3326" s="2" t="s">
        <v>2138</v>
      </c>
      <c r="D3326" s="2">
        <v>1</v>
      </c>
      <c r="E3326" s="2" t="str">
        <f>"2170758831"</f>
        <v>2170758831</v>
      </c>
      <c r="F3326" s="2" t="s">
        <v>17</v>
      </c>
      <c r="G3326" s="2" t="s">
        <v>18</v>
      </c>
      <c r="H3326" s="2" t="s">
        <v>18</v>
      </c>
      <c r="I3326" s="2" t="s">
        <v>329</v>
      </c>
      <c r="J3326" s="2" t="s">
        <v>2209</v>
      </c>
      <c r="K3326" s="2" t="s">
        <v>2197</v>
      </c>
      <c r="L3326" s="3">
        <v>0.4375</v>
      </c>
      <c r="M3326" s="2" t="s">
        <v>2262</v>
      </c>
      <c r="N3326" s="2" t="s">
        <v>500</v>
      </c>
      <c r="O3326" s="2"/>
    </row>
    <row r="3327" spans="1:15" x14ac:dyDescent="0.25">
      <c r="A3327" s="2" t="s">
        <v>15</v>
      </c>
      <c r="B3327" s="2" t="str">
        <f>"FES1162771787"</f>
        <v>FES1162771787</v>
      </c>
      <c r="C3327" s="2" t="s">
        <v>2138</v>
      </c>
      <c r="D3327" s="2">
        <v>1</v>
      </c>
      <c r="E3327" s="2" t="str">
        <f>"2170753596"</f>
        <v>2170753596</v>
      </c>
      <c r="F3327" s="2" t="s">
        <v>17</v>
      </c>
      <c r="G3327" s="2" t="s">
        <v>18</v>
      </c>
      <c r="H3327" s="2" t="s">
        <v>25</v>
      </c>
      <c r="I3327" s="2" t="s">
        <v>26</v>
      </c>
      <c r="J3327" s="2" t="s">
        <v>367</v>
      </c>
      <c r="K3327" s="2" t="s">
        <v>2197</v>
      </c>
      <c r="L3327" s="3">
        <v>0.37152777777777773</v>
      </c>
      <c r="M3327" s="2" t="s">
        <v>529</v>
      </c>
      <c r="N3327" s="2" t="s">
        <v>500</v>
      </c>
      <c r="O3327" s="2"/>
    </row>
    <row r="3328" spans="1:15" x14ac:dyDescent="0.25">
      <c r="A3328" s="2" t="s">
        <v>15</v>
      </c>
      <c r="B3328" s="2" t="str">
        <f>"FES1162771791"</f>
        <v>FES1162771791</v>
      </c>
      <c r="C3328" s="2" t="s">
        <v>2138</v>
      </c>
      <c r="D3328" s="2">
        <v>1</v>
      </c>
      <c r="E3328" s="2" t="str">
        <f>"2170758838"</f>
        <v>2170758838</v>
      </c>
      <c r="F3328" s="2" t="s">
        <v>17</v>
      </c>
      <c r="G3328" s="2" t="s">
        <v>18</v>
      </c>
      <c r="H3328" s="2" t="s">
        <v>36</v>
      </c>
      <c r="I3328" s="2" t="s">
        <v>37</v>
      </c>
      <c r="J3328" s="2" t="s">
        <v>376</v>
      </c>
      <c r="K3328" s="2" t="s">
        <v>2197</v>
      </c>
      <c r="L3328" s="3">
        <v>0.43055555555555558</v>
      </c>
      <c r="M3328" s="2" t="s">
        <v>379</v>
      </c>
      <c r="N3328" s="2" t="s">
        <v>500</v>
      </c>
      <c r="O3328" s="2"/>
    </row>
    <row r="3329" spans="1:15" x14ac:dyDescent="0.25">
      <c r="A3329" s="2" t="s">
        <v>15</v>
      </c>
      <c r="B3329" s="2" t="str">
        <f>"FES1162771794"</f>
        <v>FES1162771794</v>
      </c>
      <c r="C3329" s="2" t="s">
        <v>2138</v>
      </c>
      <c r="D3329" s="2">
        <v>1</v>
      </c>
      <c r="E3329" s="2" t="str">
        <f>"2170758843"</f>
        <v>2170758843</v>
      </c>
      <c r="F3329" s="2" t="s">
        <v>17</v>
      </c>
      <c r="G3329" s="2" t="s">
        <v>18</v>
      </c>
      <c r="H3329" s="2" t="s">
        <v>19</v>
      </c>
      <c r="I3329" s="2" t="s">
        <v>111</v>
      </c>
      <c r="J3329" s="2" t="s">
        <v>385</v>
      </c>
      <c r="K3329" s="2" t="s">
        <v>2197</v>
      </c>
      <c r="L3329" s="3">
        <v>0.3576388888888889</v>
      </c>
      <c r="M3329" s="2" t="s">
        <v>2105</v>
      </c>
      <c r="N3329" s="2" t="s">
        <v>500</v>
      </c>
      <c r="O3329" s="2"/>
    </row>
    <row r="3330" spans="1:15" x14ac:dyDescent="0.25">
      <c r="A3330" s="2" t="s">
        <v>15</v>
      </c>
      <c r="B3330" s="2" t="str">
        <f>"FES1162771765"</f>
        <v>FES1162771765</v>
      </c>
      <c r="C3330" s="2" t="s">
        <v>2138</v>
      </c>
      <c r="D3330" s="2">
        <v>1</v>
      </c>
      <c r="E3330" s="2" t="str">
        <f>"2170758648"</f>
        <v>2170758648</v>
      </c>
      <c r="F3330" s="2" t="s">
        <v>17</v>
      </c>
      <c r="G3330" s="2" t="s">
        <v>18</v>
      </c>
      <c r="H3330" s="2" t="s">
        <v>18</v>
      </c>
      <c r="I3330" s="2" t="s">
        <v>82</v>
      </c>
      <c r="J3330" s="2" t="s">
        <v>83</v>
      </c>
      <c r="K3330" s="2" t="s">
        <v>2197</v>
      </c>
      <c r="L3330" s="3">
        <v>0.3659722222222222</v>
      </c>
      <c r="M3330" s="2" t="s">
        <v>2263</v>
      </c>
      <c r="N3330" s="2" t="s">
        <v>500</v>
      </c>
      <c r="O3330" s="2"/>
    </row>
    <row r="3331" spans="1:15" x14ac:dyDescent="0.25">
      <c r="A3331" s="2" t="s">
        <v>15</v>
      </c>
      <c r="B3331" s="2" t="str">
        <f>"FES1162771810"</f>
        <v>FES1162771810</v>
      </c>
      <c r="C3331" s="2" t="s">
        <v>2138</v>
      </c>
      <c r="D3331" s="2">
        <v>1</v>
      </c>
      <c r="E3331" s="2" t="str">
        <f>"2170758857"</f>
        <v>2170758857</v>
      </c>
      <c r="F3331" s="2" t="s">
        <v>17</v>
      </c>
      <c r="G3331" s="2" t="s">
        <v>18</v>
      </c>
      <c r="H3331" s="2" t="s">
        <v>25</v>
      </c>
      <c r="I3331" s="2" t="s">
        <v>26</v>
      </c>
      <c r="J3331" s="2" t="s">
        <v>100</v>
      </c>
      <c r="K3331" s="2" t="s">
        <v>2197</v>
      </c>
      <c r="L3331" s="3">
        <v>0.3347222222222222</v>
      </c>
      <c r="M3331" s="2" t="s">
        <v>2264</v>
      </c>
      <c r="N3331" s="2" t="s">
        <v>500</v>
      </c>
      <c r="O3331" s="2"/>
    </row>
    <row r="3332" spans="1:15" x14ac:dyDescent="0.25">
      <c r="A3332" s="2" t="s">
        <v>15</v>
      </c>
      <c r="B3332" s="2" t="str">
        <f>"FES1162771764"</f>
        <v>FES1162771764</v>
      </c>
      <c r="C3332" s="2" t="s">
        <v>2138</v>
      </c>
      <c r="D3332" s="2">
        <v>1</v>
      </c>
      <c r="E3332" s="2" t="str">
        <f>"2170757360"</f>
        <v>2170757360</v>
      </c>
      <c r="F3332" s="2" t="s">
        <v>17</v>
      </c>
      <c r="G3332" s="2" t="s">
        <v>18</v>
      </c>
      <c r="H3332" s="2" t="s">
        <v>18</v>
      </c>
      <c r="I3332" s="2" t="s">
        <v>163</v>
      </c>
      <c r="J3332" s="2" t="s">
        <v>2146</v>
      </c>
      <c r="K3332" s="2" t="s">
        <v>2197</v>
      </c>
      <c r="L3332" s="3">
        <v>0.35416666666666669</v>
      </c>
      <c r="M3332" s="2" t="s">
        <v>2265</v>
      </c>
      <c r="N3332" s="2" t="s">
        <v>500</v>
      </c>
      <c r="O3332" s="2"/>
    </row>
    <row r="3333" spans="1:15" x14ac:dyDescent="0.25">
      <c r="A3333" s="2" t="s">
        <v>15</v>
      </c>
      <c r="B3333" s="2" t="str">
        <f>"FES1162771799"</f>
        <v>FES1162771799</v>
      </c>
      <c r="C3333" s="2" t="s">
        <v>2138</v>
      </c>
      <c r="D3333" s="2">
        <v>1</v>
      </c>
      <c r="E3333" s="2" t="str">
        <f>"2170758845"</f>
        <v>2170758845</v>
      </c>
      <c r="F3333" s="2" t="s">
        <v>17</v>
      </c>
      <c r="G3333" s="2" t="s">
        <v>18</v>
      </c>
      <c r="H3333" s="2" t="s">
        <v>19</v>
      </c>
      <c r="I3333" s="2" t="s">
        <v>132</v>
      </c>
      <c r="J3333" s="2" t="s">
        <v>2210</v>
      </c>
      <c r="K3333" s="2" t="s">
        <v>2197</v>
      </c>
      <c r="L3333" s="3">
        <v>0.45416666666666666</v>
      </c>
      <c r="M3333" s="2" t="s">
        <v>2266</v>
      </c>
      <c r="N3333" s="2" t="s">
        <v>500</v>
      </c>
      <c r="O3333" s="2"/>
    </row>
    <row r="3334" spans="1:15" x14ac:dyDescent="0.25">
      <c r="A3334" s="2" t="s">
        <v>15</v>
      </c>
      <c r="B3334" s="2" t="str">
        <f>"FES1162771760"</f>
        <v>FES1162771760</v>
      </c>
      <c r="C3334" s="2" t="s">
        <v>2138</v>
      </c>
      <c r="D3334" s="2">
        <v>1</v>
      </c>
      <c r="E3334" s="2" t="str">
        <f>"2170758802"</f>
        <v>2170758802</v>
      </c>
      <c r="F3334" s="2" t="s">
        <v>17</v>
      </c>
      <c r="G3334" s="2" t="s">
        <v>18</v>
      </c>
      <c r="H3334" s="2" t="s">
        <v>18</v>
      </c>
      <c r="I3334" s="2" t="s">
        <v>52</v>
      </c>
      <c r="J3334" s="2" t="s">
        <v>2211</v>
      </c>
      <c r="K3334" s="2" t="s">
        <v>2197</v>
      </c>
      <c r="L3334" s="3">
        <v>0.47222222222222227</v>
      </c>
      <c r="M3334" s="2" t="s">
        <v>2267</v>
      </c>
      <c r="N3334" s="2" t="s">
        <v>500</v>
      </c>
      <c r="O3334" s="2"/>
    </row>
    <row r="3335" spans="1:15" x14ac:dyDescent="0.25">
      <c r="A3335" s="2" t="s">
        <v>15</v>
      </c>
      <c r="B3335" s="2" t="str">
        <f>"FES1162771807"</f>
        <v>FES1162771807</v>
      </c>
      <c r="C3335" s="2" t="s">
        <v>2138</v>
      </c>
      <c r="D3335" s="2">
        <v>1</v>
      </c>
      <c r="E3335" s="2" t="str">
        <f>"2170758854"</f>
        <v>2170758854</v>
      </c>
      <c r="F3335" s="2" t="s">
        <v>17</v>
      </c>
      <c r="G3335" s="2" t="s">
        <v>18</v>
      </c>
      <c r="H3335" s="2" t="s">
        <v>25</v>
      </c>
      <c r="I3335" s="2" t="s">
        <v>26</v>
      </c>
      <c r="J3335" s="2" t="s">
        <v>100</v>
      </c>
      <c r="K3335" s="2" t="s">
        <v>2197</v>
      </c>
      <c r="L3335" s="3">
        <v>0.3347222222222222</v>
      </c>
      <c r="M3335" s="2" t="s">
        <v>2264</v>
      </c>
      <c r="N3335" s="2" t="s">
        <v>500</v>
      </c>
      <c r="O3335" s="2"/>
    </row>
    <row r="3336" spans="1:15" x14ac:dyDescent="0.25">
      <c r="A3336" s="2" t="s">
        <v>15</v>
      </c>
      <c r="B3336" s="2" t="str">
        <f>"FES1162771797"</f>
        <v>FES1162771797</v>
      </c>
      <c r="C3336" s="2" t="s">
        <v>2138</v>
      </c>
      <c r="D3336" s="2">
        <v>1</v>
      </c>
      <c r="E3336" s="2" t="str">
        <f>"2170758833"</f>
        <v>2170758833</v>
      </c>
      <c r="F3336" s="2" t="s">
        <v>17</v>
      </c>
      <c r="G3336" s="2" t="s">
        <v>18</v>
      </c>
      <c r="H3336" s="2" t="s">
        <v>25</v>
      </c>
      <c r="I3336" s="2" t="s">
        <v>26</v>
      </c>
      <c r="J3336" s="2" t="s">
        <v>422</v>
      </c>
      <c r="K3336" s="2" t="s">
        <v>2197</v>
      </c>
      <c r="L3336" s="3">
        <v>0.38541666666666669</v>
      </c>
      <c r="M3336" s="2" t="s">
        <v>2180</v>
      </c>
      <c r="N3336" s="2" t="s">
        <v>500</v>
      </c>
      <c r="O3336" s="2"/>
    </row>
    <row r="3337" spans="1:15" x14ac:dyDescent="0.25">
      <c r="A3337" s="2" t="s">
        <v>15</v>
      </c>
      <c r="B3337" s="2" t="str">
        <f>"FES1162771790"</f>
        <v>FES1162771790</v>
      </c>
      <c r="C3337" s="2" t="s">
        <v>2138</v>
      </c>
      <c r="D3337" s="2">
        <v>1</v>
      </c>
      <c r="E3337" s="2" t="str">
        <f>"2170758837"</f>
        <v>2170758837</v>
      </c>
      <c r="F3337" s="2" t="s">
        <v>17</v>
      </c>
      <c r="G3337" s="2" t="s">
        <v>18</v>
      </c>
      <c r="H3337" s="2" t="s">
        <v>25</v>
      </c>
      <c r="I3337" s="2" t="s">
        <v>26</v>
      </c>
      <c r="J3337" s="2" t="s">
        <v>2212</v>
      </c>
      <c r="K3337" s="2" t="s">
        <v>2197</v>
      </c>
      <c r="L3337" s="3">
        <v>0.38125000000000003</v>
      </c>
      <c r="M3337" s="2" t="s">
        <v>2268</v>
      </c>
      <c r="N3337" s="2" t="s">
        <v>500</v>
      </c>
      <c r="O3337" s="2"/>
    </row>
    <row r="3338" spans="1:15" x14ac:dyDescent="0.25">
      <c r="A3338" s="2" t="s">
        <v>15</v>
      </c>
      <c r="B3338" s="2" t="str">
        <f>"FES1162771811"</f>
        <v>FES1162771811</v>
      </c>
      <c r="C3338" s="2" t="s">
        <v>2138</v>
      </c>
      <c r="D3338" s="2">
        <v>1</v>
      </c>
      <c r="E3338" s="2" t="str">
        <f>"2170758859"</f>
        <v>2170758859</v>
      </c>
      <c r="F3338" s="2" t="s">
        <v>17</v>
      </c>
      <c r="G3338" s="2" t="s">
        <v>18</v>
      </c>
      <c r="H3338" s="2" t="s">
        <v>25</v>
      </c>
      <c r="I3338" s="2" t="s">
        <v>26</v>
      </c>
      <c r="J3338" s="2" t="s">
        <v>100</v>
      </c>
      <c r="K3338" s="2" t="s">
        <v>2197</v>
      </c>
      <c r="L3338" s="3">
        <v>0.3347222222222222</v>
      </c>
      <c r="M3338" s="2" t="s">
        <v>2264</v>
      </c>
      <c r="N3338" s="2" t="s">
        <v>500</v>
      </c>
      <c r="O3338" s="2"/>
    </row>
    <row r="3339" spans="1:15" x14ac:dyDescent="0.25">
      <c r="A3339" s="2" t="s">
        <v>15</v>
      </c>
      <c r="B3339" s="2" t="str">
        <f>"FES1162771769"</f>
        <v>FES1162771769</v>
      </c>
      <c r="C3339" s="2" t="s">
        <v>2138</v>
      </c>
      <c r="D3339" s="2">
        <v>1</v>
      </c>
      <c r="E3339" s="2" t="str">
        <f>"2170758812"</f>
        <v>2170758812</v>
      </c>
      <c r="F3339" s="2" t="s">
        <v>17</v>
      </c>
      <c r="G3339" s="2" t="s">
        <v>18</v>
      </c>
      <c r="H3339" s="2" t="s">
        <v>18</v>
      </c>
      <c r="I3339" s="2" t="s">
        <v>52</v>
      </c>
      <c r="J3339" s="2" t="s">
        <v>2213</v>
      </c>
      <c r="K3339" s="2" t="s">
        <v>2197</v>
      </c>
      <c r="L3339" s="3">
        <v>0.54236111111111118</v>
      </c>
      <c r="M3339" s="2" t="s">
        <v>2269</v>
      </c>
      <c r="N3339" s="2" t="s">
        <v>500</v>
      </c>
      <c r="O3339" s="2"/>
    </row>
    <row r="3340" spans="1:15" x14ac:dyDescent="0.25">
      <c r="A3340" s="2" t="s">
        <v>15</v>
      </c>
      <c r="B3340" s="2" t="str">
        <f>"FES1162771803"</f>
        <v>FES1162771803</v>
      </c>
      <c r="C3340" s="2" t="s">
        <v>2138</v>
      </c>
      <c r="D3340" s="2">
        <v>1</v>
      </c>
      <c r="E3340" s="2" t="str">
        <f>"2170758852"</f>
        <v>2170758852</v>
      </c>
      <c r="F3340" s="2" t="s">
        <v>17</v>
      </c>
      <c r="G3340" s="2" t="s">
        <v>18</v>
      </c>
      <c r="H3340" s="2" t="s">
        <v>78</v>
      </c>
      <c r="I3340" s="2" t="s">
        <v>159</v>
      </c>
      <c r="J3340" s="2" t="s">
        <v>402</v>
      </c>
      <c r="K3340" s="2" t="s">
        <v>2197</v>
      </c>
      <c r="L3340" s="3">
        <v>0.52430555555555558</v>
      </c>
      <c r="M3340" s="2" t="s">
        <v>1197</v>
      </c>
      <c r="N3340" s="2" t="s">
        <v>500</v>
      </c>
      <c r="O3340" s="2"/>
    </row>
    <row r="3341" spans="1:15" x14ac:dyDescent="0.25">
      <c r="A3341" s="2" t="s">
        <v>15</v>
      </c>
      <c r="B3341" s="2" t="str">
        <f>"FES1162771789"</f>
        <v>FES1162771789</v>
      </c>
      <c r="C3341" s="2" t="s">
        <v>2138</v>
      </c>
      <c r="D3341" s="2">
        <v>1</v>
      </c>
      <c r="E3341" s="2" t="str">
        <f>"2170758836"</f>
        <v>2170758836</v>
      </c>
      <c r="F3341" s="2" t="s">
        <v>17</v>
      </c>
      <c r="G3341" s="2" t="s">
        <v>18</v>
      </c>
      <c r="H3341" s="2" t="s">
        <v>36</v>
      </c>
      <c r="I3341" s="2" t="s">
        <v>37</v>
      </c>
      <c r="J3341" s="2" t="s">
        <v>376</v>
      </c>
      <c r="K3341" s="2" t="s">
        <v>2197</v>
      </c>
      <c r="L3341" s="3">
        <v>0.42708333333333331</v>
      </c>
      <c r="M3341" s="2" t="s">
        <v>2182</v>
      </c>
      <c r="N3341" s="2" t="s">
        <v>500</v>
      </c>
      <c r="O3341" s="2"/>
    </row>
    <row r="3342" spans="1:15" x14ac:dyDescent="0.25">
      <c r="A3342" s="2" t="s">
        <v>15</v>
      </c>
      <c r="B3342" s="2" t="str">
        <f>"FES1162771816"</f>
        <v>FES1162771816</v>
      </c>
      <c r="C3342" s="2" t="s">
        <v>2138</v>
      </c>
      <c r="D3342" s="2">
        <v>1</v>
      </c>
      <c r="E3342" s="2" t="str">
        <f>"2170758866"</f>
        <v>2170758866</v>
      </c>
      <c r="F3342" s="2" t="s">
        <v>17</v>
      </c>
      <c r="G3342" s="2" t="s">
        <v>18</v>
      </c>
      <c r="H3342" s="2" t="s">
        <v>25</v>
      </c>
      <c r="I3342" s="2" t="s">
        <v>26</v>
      </c>
      <c r="J3342" s="2" t="s">
        <v>2214</v>
      </c>
      <c r="K3342" s="2" t="s">
        <v>2197</v>
      </c>
      <c r="L3342" s="3">
        <v>0.41597222222222219</v>
      </c>
      <c r="M3342" s="2" t="s">
        <v>2270</v>
      </c>
      <c r="N3342" s="2" t="s">
        <v>500</v>
      </c>
      <c r="O3342" s="2"/>
    </row>
    <row r="3343" spans="1:15" x14ac:dyDescent="0.25">
      <c r="A3343" s="2" t="s">
        <v>15</v>
      </c>
      <c r="B3343" s="2" t="str">
        <f>"FES11627758867"</f>
        <v>FES11627758867</v>
      </c>
      <c r="C3343" s="2" t="s">
        <v>2138</v>
      </c>
      <c r="D3343" s="2">
        <v>1</v>
      </c>
      <c r="E3343" s="2" t="str">
        <f>"2170758867"</f>
        <v>2170758867</v>
      </c>
      <c r="F3343" s="2" t="s">
        <v>17</v>
      </c>
      <c r="G3343" s="2" t="s">
        <v>18</v>
      </c>
      <c r="H3343" s="2" t="s">
        <v>25</v>
      </c>
      <c r="I3343" s="2" t="s">
        <v>26</v>
      </c>
      <c r="J3343" s="2" t="s">
        <v>75</v>
      </c>
      <c r="K3343" s="2" t="s">
        <v>2197</v>
      </c>
      <c r="L3343" s="3">
        <v>0.3527777777777778</v>
      </c>
      <c r="M3343" s="2" t="s">
        <v>677</v>
      </c>
      <c r="N3343" s="2" t="s">
        <v>500</v>
      </c>
      <c r="O3343" s="2"/>
    </row>
    <row r="3344" spans="1:15" x14ac:dyDescent="0.25">
      <c r="A3344" s="2" t="s">
        <v>15</v>
      </c>
      <c r="B3344" s="2" t="str">
        <f>"009939512480"</f>
        <v>009939512480</v>
      </c>
      <c r="C3344" s="2" t="s">
        <v>2138</v>
      </c>
      <c r="D3344" s="2">
        <v>1</v>
      </c>
      <c r="E3344" s="2" t="str">
        <f>"1703"</f>
        <v>1703</v>
      </c>
      <c r="F3344" s="2" t="s">
        <v>480</v>
      </c>
      <c r="G3344" s="2" t="s">
        <v>25</v>
      </c>
      <c r="H3344" s="2" t="s">
        <v>18</v>
      </c>
      <c r="I3344" s="2" t="s">
        <v>46</v>
      </c>
      <c r="J3344" s="2" t="s">
        <v>410</v>
      </c>
      <c r="K3344" s="2" t="s">
        <v>2197</v>
      </c>
      <c r="L3344" s="3">
        <v>0.34027777777777773</v>
      </c>
      <c r="M3344" s="2" t="s">
        <v>262</v>
      </c>
      <c r="N3344" s="2" t="s">
        <v>500</v>
      </c>
      <c r="O3344" s="2"/>
    </row>
    <row r="3345" spans="1:15" x14ac:dyDescent="0.25">
      <c r="A3345" s="2" t="s">
        <v>15</v>
      </c>
      <c r="B3345" s="2" t="str">
        <f>"019911311286"</f>
        <v>019911311286</v>
      </c>
      <c r="C3345" s="2" t="s">
        <v>2138</v>
      </c>
      <c r="D3345" s="2">
        <v>1</v>
      </c>
      <c r="E3345" s="2" t="str">
        <f>"1703"</f>
        <v>1703</v>
      </c>
      <c r="F3345" s="2" t="s">
        <v>17</v>
      </c>
      <c r="G3345" s="2" t="s">
        <v>25</v>
      </c>
      <c r="H3345" s="2" t="s">
        <v>18</v>
      </c>
      <c r="I3345" s="2" t="s">
        <v>46</v>
      </c>
      <c r="J3345" s="2" t="s">
        <v>755</v>
      </c>
      <c r="K3345" s="2" t="s">
        <v>2197</v>
      </c>
      <c r="L3345" s="3">
        <v>0.34375</v>
      </c>
      <c r="M3345" s="2" t="s">
        <v>262</v>
      </c>
      <c r="N3345" s="2" t="s">
        <v>500</v>
      </c>
      <c r="O3345" s="2"/>
    </row>
    <row r="3346" spans="1:15" x14ac:dyDescent="0.25">
      <c r="A3346" s="2" t="s">
        <v>15</v>
      </c>
      <c r="B3346" s="2" t="str">
        <f>"FES1162771818"</f>
        <v>FES1162771818</v>
      </c>
      <c r="C3346" s="2" t="s">
        <v>2138</v>
      </c>
      <c r="D3346" s="2">
        <v>1</v>
      </c>
      <c r="E3346" s="2" t="str">
        <f>"2170758786"</f>
        <v>2170758786</v>
      </c>
      <c r="F3346" s="2" t="s">
        <v>17</v>
      </c>
      <c r="G3346" s="2" t="s">
        <v>18</v>
      </c>
      <c r="H3346" s="2" t="s">
        <v>88</v>
      </c>
      <c r="I3346" s="2" t="s">
        <v>109</v>
      </c>
      <c r="J3346" s="2" t="s">
        <v>635</v>
      </c>
      <c r="K3346" s="2" t="s">
        <v>2197</v>
      </c>
      <c r="L3346" s="3">
        <v>0.43541666666666662</v>
      </c>
      <c r="M3346" s="2" t="s">
        <v>2271</v>
      </c>
      <c r="N3346" s="2" t="s">
        <v>500</v>
      </c>
      <c r="O3346" s="2"/>
    </row>
    <row r="3347" spans="1:15" x14ac:dyDescent="0.25">
      <c r="A3347" s="2" t="s">
        <v>15</v>
      </c>
      <c r="B3347" s="2" t="str">
        <f>"FES1162771800"</f>
        <v>FES1162771800</v>
      </c>
      <c r="C3347" s="2" t="s">
        <v>2138</v>
      </c>
      <c r="D3347" s="2">
        <v>1</v>
      </c>
      <c r="E3347" s="2" t="str">
        <f>"2170758847"</f>
        <v>2170758847</v>
      </c>
      <c r="F3347" s="2" t="s">
        <v>17</v>
      </c>
      <c r="G3347" s="2" t="s">
        <v>18</v>
      </c>
      <c r="H3347" s="2" t="s">
        <v>18</v>
      </c>
      <c r="I3347" s="2" t="s">
        <v>63</v>
      </c>
      <c r="J3347" s="2" t="s">
        <v>93</v>
      </c>
      <c r="K3347" s="2" t="s">
        <v>2197</v>
      </c>
      <c r="L3347" s="3">
        <v>0.36944444444444446</v>
      </c>
      <c r="M3347" s="2" t="s">
        <v>397</v>
      </c>
      <c r="N3347" s="2" t="s">
        <v>500</v>
      </c>
      <c r="O3347" s="2"/>
    </row>
    <row r="3348" spans="1:15" x14ac:dyDescent="0.25">
      <c r="A3348" s="2" t="s">
        <v>15</v>
      </c>
      <c r="B3348" s="2" t="str">
        <f>"FES1162771802"</f>
        <v>FES1162771802</v>
      </c>
      <c r="C3348" s="2" t="s">
        <v>2138</v>
      </c>
      <c r="D3348" s="2">
        <v>1</v>
      </c>
      <c r="E3348" s="2" t="str">
        <f>"2170758850"</f>
        <v>2170758850</v>
      </c>
      <c r="F3348" s="2" t="s">
        <v>17</v>
      </c>
      <c r="G3348" s="2" t="s">
        <v>18</v>
      </c>
      <c r="H3348" s="2" t="s">
        <v>18</v>
      </c>
      <c r="I3348" s="2" t="s">
        <v>63</v>
      </c>
      <c r="J3348" s="2" t="s">
        <v>93</v>
      </c>
      <c r="K3348" s="2" t="s">
        <v>2197</v>
      </c>
      <c r="L3348" s="3">
        <v>0.36805555555555558</v>
      </c>
      <c r="M3348" s="2" t="s">
        <v>397</v>
      </c>
      <c r="N3348" s="2" t="s">
        <v>500</v>
      </c>
      <c r="O3348" s="2"/>
    </row>
    <row r="3349" spans="1:15" x14ac:dyDescent="0.25">
      <c r="A3349" s="2" t="s">
        <v>15</v>
      </c>
      <c r="B3349" s="2" t="str">
        <f>"FES1162771801"</f>
        <v>FES1162771801</v>
      </c>
      <c r="C3349" s="2" t="s">
        <v>2138</v>
      </c>
      <c r="D3349" s="2">
        <v>1</v>
      </c>
      <c r="E3349" s="2" t="str">
        <f>"2170758848"</f>
        <v>2170758848</v>
      </c>
      <c r="F3349" s="2" t="s">
        <v>17</v>
      </c>
      <c r="G3349" s="2" t="s">
        <v>18</v>
      </c>
      <c r="H3349" s="2" t="s">
        <v>18</v>
      </c>
      <c r="I3349" s="2" t="s">
        <v>63</v>
      </c>
      <c r="J3349" s="2" t="s">
        <v>93</v>
      </c>
      <c r="K3349" s="2" t="s">
        <v>2197</v>
      </c>
      <c r="L3349" s="3">
        <v>0.36805555555555558</v>
      </c>
      <c r="M3349" s="2" t="s">
        <v>397</v>
      </c>
      <c r="N3349" s="2" t="s">
        <v>500</v>
      </c>
      <c r="O3349" s="2"/>
    </row>
    <row r="3350" spans="1:15" x14ac:dyDescent="0.25">
      <c r="A3350" s="2" t="s">
        <v>15</v>
      </c>
      <c r="B3350" s="2" t="str">
        <f>"FES1162771804"</f>
        <v>FES1162771804</v>
      </c>
      <c r="C3350" s="2" t="s">
        <v>2138</v>
      </c>
      <c r="D3350" s="2">
        <v>1</v>
      </c>
      <c r="E3350" s="2" t="str">
        <f>"2170758839"</f>
        <v>2170758839</v>
      </c>
      <c r="F3350" s="2" t="s">
        <v>17</v>
      </c>
      <c r="G3350" s="2" t="s">
        <v>18</v>
      </c>
      <c r="H3350" s="2" t="s">
        <v>18</v>
      </c>
      <c r="I3350" s="2" t="s">
        <v>63</v>
      </c>
      <c r="J3350" s="2" t="s">
        <v>1287</v>
      </c>
      <c r="K3350" s="2" t="s">
        <v>2197</v>
      </c>
      <c r="L3350" s="3">
        <v>0.43472222222222223</v>
      </c>
      <c r="M3350" s="2" t="s">
        <v>1339</v>
      </c>
      <c r="N3350" s="2" t="s">
        <v>500</v>
      </c>
      <c r="O3350" s="2"/>
    </row>
    <row r="3351" spans="1:15" x14ac:dyDescent="0.25">
      <c r="A3351" s="2" t="s">
        <v>15</v>
      </c>
      <c r="B3351" s="2" t="str">
        <f>"FES1162771815"</f>
        <v>FES1162771815</v>
      </c>
      <c r="C3351" s="2" t="s">
        <v>2138</v>
      </c>
      <c r="D3351" s="2">
        <v>1</v>
      </c>
      <c r="E3351" s="2" t="str">
        <f>"2170758862"</f>
        <v>2170758862</v>
      </c>
      <c r="F3351" s="2" t="s">
        <v>17</v>
      </c>
      <c r="G3351" s="2" t="s">
        <v>18</v>
      </c>
      <c r="H3351" s="2" t="s">
        <v>484</v>
      </c>
      <c r="I3351" s="2" t="s">
        <v>675</v>
      </c>
      <c r="J3351" s="2" t="s">
        <v>2061</v>
      </c>
      <c r="K3351" s="2" t="s">
        <v>2282</v>
      </c>
      <c r="L3351" s="3">
        <v>0.76874999999999993</v>
      </c>
      <c r="M3351" s="2" t="s">
        <v>2316</v>
      </c>
      <c r="N3351" s="2" t="s">
        <v>500</v>
      </c>
      <c r="O3351" s="2"/>
    </row>
    <row r="3352" spans="1:15" x14ac:dyDescent="0.25">
      <c r="A3352" s="2" t="s">
        <v>15</v>
      </c>
      <c r="B3352" s="2" t="str">
        <f>"FES1162771824"</f>
        <v>FES1162771824</v>
      </c>
      <c r="C3352" s="2" t="s">
        <v>2138</v>
      </c>
      <c r="D3352" s="2">
        <v>1</v>
      </c>
      <c r="E3352" s="2" t="str">
        <f>"2170758878"</f>
        <v>2170758878</v>
      </c>
      <c r="F3352" s="2" t="s">
        <v>17</v>
      </c>
      <c r="G3352" s="2" t="s">
        <v>18</v>
      </c>
      <c r="H3352" s="2" t="s">
        <v>36</v>
      </c>
      <c r="I3352" s="2" t="s">
        <v>37</v>
      </c>
      <c r="J3352" s="2" t="s">
        <v>104</v>
      </c>
      <c r="K3352" s="2" t="s">
        <v>2197</v>
      </c>
      <c r="L3352" s="3">
        <v>0.3611111111111111</v>
      </c>
      <c r="M3352" s="2" t="s">
        <v>672</v>
      </c>
      <c r="N3352" s="2" t="s">
        <v>500</v>
      </c>
      <c r="O3352" s="2"/>
    </row>
    <row r="3353" spans="1:15" x14ac:dyDescent="0.25">
      <c r="A3353" s="2" t="s">
        <v>15</v>
      </c>
      <c r="B3353" s="2" t="str">
        <f>"FES1162771821"</f>
        <v>FES1162771821</v>
      </c>
      <c r="C3353" s="2" t="s">
        <v>2138</v>
      </c>
      <c r="D3353" s="2">
        <v>1</v>
      </c>
      <c r="E3353" s="2" t="str">
        <f>"2170758874"</f>
        <v>2170758874</v>
      </c>
      <c r="F3353" s="2" t="s">
        <v>17</v>
      </c>
      <c r="G3353" s="2" t="s">
        <v>18</v>
      </c>
      <c r="H3353" s="2" t="s">
        <v>25</v>
      </c>
      <c r="I3353" s="2" t="s">
        <v>26</v>
      </c>
      <c r="J3353" s="2" t="s">
        <v>2215</v>
      </c>
      <c r="K3353" s="2" t="s">
        <v>2197</v>
      </c>
      <c r="L3353" s="3">
        <v>0.42499999999999999</v>
      </c>
      <c r="M3353" s="2" t="s">
        <v>2272</v>
      </c>
      <c r="N3353" s="2" t="s">
        <v>500</v>
      </c>
      <c r="O3353" s="2"/>
    </row>
    <row r="3354" spans="1:15" x14ac:dyDescent="0.25">
      <c r="A3354" s="2" t="s">
        <v>15</v>
      </c>
      <c r="B3354" s="2" t="str">
        <f>"FES1162771675"</f>
        <v>FES1162771675</v>
      </c>
      <c r="C3354" s="2" t="s">
        <v>2138</v>
      </c>
      <c r="D3354" s="2">
        <v>1</v>
      </c>
      <c r="E3354" s="2" t="str">
        <f>"2170758201"</f>
        <v>2170758201</v>
      </c>
      <c r="F3354" s="2" t="s">
        <v>17</v>
      </c>
      <c r="G3354" s="2" t="s">
        <v>18</v>
      </c>
      <c r="H3354" s="2" t="s">
        <v>33</v>
      </c>
      <c r="I3354" s="2" t="s">
        <v>34</v>
      </c>
      <c r="J3354" s="2" t="s">
        <v>868</v>
      </c>
      <c r="K3354" s="2" t="s">
        <v>2197</v>
      </c>
      <c r="L3354" s="3">
        <v>0.4680555555555555</v>
      </c>
      <c r="M3354" s="2" t="s">
        <v>1182</v>
      </c>
      <c r="N3354" s="2" t="s">
        <v>500</v>
      </c>
      <c r="O3354" s="2"/>
    </row>
    <row r="3355" spans="1:15" x14ac:dyDescent="0.25">
      <c r="A3355" s="2" t="s">
        <v>15</v>
      </c>
      <c r="B3355" s="2" t="str">
        <f>"FES1162771826"</f>
        <v>FES1162771826</v>
      </c>
      <c r="C3355" s="2" t="s">
        <v>2138</v>
      </c>
      <c r="D3355" s="2">
        <v>1</v>
      </c>
      <c r="E3355" s="2" t="str">
        <f>"2170758880"</f>
        <v>2170758880</v>
      </c>
      <c r="F3355" s="2" t="s">
        <v>17</v>
      </c>
      <c r="G3355" s="2" t="s">
        <v>18</v>
      </c>
      <c r="H3355" s="2" t="s">
        <v>18</v>
      </c>
      <c r="I3355" s="2" t="s">
        <v>52</v>
      </c>
      <c r="J3355" s="2" t="s">
        <v>53</v>
      </c>
      <c r="K3355" s="2" t="s">
        <v>2197</v>
      </c>
      <c r="L3355" s="3">
        <v>0.35416666666666669</v>
      </c>
      <c r="M3355" s="2" t="s">
        <v>1158</v>
      </c>
      <c r="N3355" s="2" t="s">
        <v>500</v>
      </c>
      <c r="O3355" s="2"/>
    </row>
    <row r="3356" spans="1:15" x14ac:dyDescent="0.25">
      <c r="A3356" s="2" t="s">
        <v>15</v>
      </c>
      <c r="B3356" s="2" t="str">
        <f>"FES1162771823"</f>
        <v>FES1162771823</v>
      </c>
      <c r="C3356" s="2" t="s">
        <v>2138</v>
      </c>
      <c r="D3356" s="2">
        <v>1</v>
      </c>
      <c r="E3356" s="2" t="str">
        <f>"2170758877"</f>
        <v>2170758877</v>
      </c>
      <c r="F3356" s="2" t="s">
        <v>17</v>
      </c>
      <c r="G3356" s="2" t="s">
        <v>18</v>
      </c>
      <c r="H3356" s="2" t="s">
        <v>88</v>
      </c>
      <c r="I3356" s="2" t="s">
        <v>109</v>
      </c>
      <c r="J3356" s="2" t="s">
        <v>110</v>
      </c>
      <c r="K3356" s="2" t="s">
        <v>2197</v>
      </c>
      <c r="L3356" s="3">
        <v>0.3611111111111111</v>
      </c>
      <c r="M3356" s="2" t="s">
        <v>224</v>
      </c>
      <c r="N3356" s="2" t="s">
        <v>500</v>
      </c>
      <c r="O3356" s="2"/>
    </row>
    <row r="3357" spans="1:15" x14ac:dyDescent="0.25">
      <c r="A3357" s="2" t="s">
        <v>15</v>
      </c>
      <c r="B3357" s="2" t="str">
        <f>"FES1162771828"</f>
        <v>FES1162771828</v>
      </c>
      <c r="C3357" s="2" t="s">
        <v>2138</v>
      </c>
      <c r="D3357" s="2">
        <v>1</v>
      </c>
      <c r="E3357" s="2" t="str">
        <f>"2170758883"</f>
        <v>2170758883</v>
      </c>
      <c r="F3357" s="2" t="s">
        <v>17</v>
      </c>
      <c r="G3357" s="2" t="s">
        <v>18</v>
      </c>
      <c r="H3357" s="2" t="s">
        <v>88</v>
      </c>
      <c r="I3357" s="2" t="s">
        <v>109</v>
      </c>
      <c r="J3357" s="2" t="s">
        <v>141</v>
      </c>
      <c r="K3357" s="2" t="s">
        <v>2197</v>
      </c>
      <c r="L3357" s="3">
        <v>0.33749999999999997</v>
      </c>
      <c r="M3357" s="2" t="s">
        <v>1393</v>
      </c>
      <c r="N3357" s="2" t="s">
        <v>500</v>
      </c>
      <c r="O3357" s="2"/>
    </row>
    <row r="3358" spans="1:15" x14ac:dyDescent="0.25">
      <c r="A3358" s="2" t="s">
        <v>15</v>
      </c>
      <c r="B3358" s="2" t="str">
        <f>"FES1162771827"</f>
        <v>FES1162771827</v>
      </c>
      <c r="C3358" s="2" t="s">
        <v>2138</v>
      </c>
      <c r="D3358" s="2">
        <v>1</v>
      </c>
      <c r="E3358" s="2" t="str">
        <f>"2170758881"</f>
        <v>2170758881</v>
      </c>
      <c r="F3358" s="2" t="s">
        <v>17</v>
      </c>
      <c r="G3358" s="2" t="s">
        <v>18</v>
      </c>
      <c r="H3358" s="2" t="s">
        <v>88</v>
      </c>
      <c r="I3358" s="2" t="s">
        <v>109</v>
      </c>
      <c r="J3358" s="2" t="s">
        <v>141</v>
      </c>
      <c r="K3358" s="2" t="s">
        <v>2197</v>
      </c>
      <c r="L3358" s="3">
        <v>0.33749999999999997</v>
      </c>
      <c r="M3358" s="2" t="s">
        <v>1393</v>
      </c>
      <c r="N3358" s="2" t="s">
        <v>500</v>
      </c>
      <c r="O3358" s="2"/>
    </row>
    <row r="3359" spans="1:15" x14ac:dyDescent="0.25">
      <c r="A3359" s="2" t="s">
        <v>15</v>
      </c>
      <c r="B3359" s="2" t="str">
        <f>"FES1162771829"</f>
        <v>FES1162771829</v>
      </c>
      <c r="C3359" s="2" t="s">
        <v>2138</v>
      </c>
      <c r="D3359" s="2">
        <v>1</v>
      </c>
      <c r="E3359" s="2" t="str">
        <f>"2170758884"</f>
        <v>2170758884</v>
      </c>
      <c r="F3359" s="2" t="s">
        <v>17</v>
      </c>
      <c r="G3359" s="2" t="s">
        <v>18</v>
      </c>
      <c r="H3359" s="2" t="s">
        <v>36</v>
      </c>
      <c r="I3359" s="2" t="s">
        <v>67</v>
      </c>
      <c r="J3359" s="2" t="s">
        <v>146</v>
      </c>
      <c r="K3359" s="2" t="s">
        <v>2197</v>
      </c>
      <c r="L3359" s="3">
        <v>0.38680555555555557</v>
      </c>
      <c r="M3359" s="2" t="s">
        <v>2273</v>
      </c>
      <c r="N3359" s="2" t="s">
        <v>500</v>
      </c>
      <c r="O3359" s="2"/>
    </row>
    <row r="3360" spans="1:15" x14ac:dyDescent="0.25">
      <c r="A3360" s="2" t="s">
        <v>15</v>
      </c>
      <c r="B3360" s="2" t="str">
        <f>"FES1162771840"</f>
        <v>FES1162771840</v>
      </c>
      <c r="C3360" s="2" t="s">
        <v>2138</v>
      </c>
      <c r="D3360" s="2">
        <v>1</v>
      </c>
      <c r="E3360" s="2" t="str">
        <f>"2170758888"</f>
        <v>2170758888</v>
      </c>
      <c r="F3360" s="2" t="s">
        <v>17</v>
      </c>
      <c r="G3360" s="2" t="s">
        <v>18</v>
      </c>
      <c r="H3360" s="2" t="s">
        <v>18</v>
      </c>
      <c r="I3360" s="2" t="s">
        <v>63</v>
      </c>
      <c r="J3360" s="2" t="s">
        <v>64</v>
      </c>
      <c r="K3360" s="2" t="s">
        <v>2197</v>
      </c>
      <c r="L3360" s="3">
        <v>0.33611111111111108</v>
      </c>
      <c r="M3360" s="2" t="s">
        <v>2274</v>
      </c>
      <c r="N3360" s="2" t="s">
        <v>500</v>
      </c>
      <c r="O3360" s="2"/>
    </row>
    <row r="3361" spans="1:15" x14ac:dyDescent="0.25">
      <c r="A3361" s="2" t="s">
        <v>15</v>
      </c>
      <c r="B3361" s="2" t="str">
        <f>"FES1162771835"</f>
        <v>FES1162771835</v>
      </c>
      <c r="C3361" s="2" t="s">
        <v>2138</v>
      </c>
      <c r="D3361" s="2">
        <v>1</v>
      </c>
      <c r="E3361" s="2" t="str">
        <f>"2170758893"</f>
        <v>2170758893</v>
      </c>
      <c r="F3361" s="2" t="s">
        <v>17</v>
      </c>
      <c r="G3361" s="2" t="s">
        <v>18</v>
      </c>
      <c r="H3361" s="2" t="s">
        <v>88</v>
      </c>
      <c r="I3361" s="2" t="s">
        <v>109</v>
      </c>
      <c r="J3361" s="2" t="s">
        <v>1320</v>
      </c>
      <c r="K3361" s="2" t="s">
        <v>2197</v>
      </c>
      <c r="L3361" s="3">
        <v>0.35625000000000001</v>
      </c>
      <c r="M3361" s="2" t="s">
        <v>1391</v>
      </c>
      <c r="N3361" s="2" t="s">
        <v>500</v>
      </c>
      <c r="O3361" s="2"/>
    </row>
    <row r="3362" spans="1:15" x14ac:dyDescent="0.25">
      <c r="A3362" s="2" t="s">
        <v>15</v>
      </c>
      <c r="B3362" s="2" t="str">
        <f>"FES1162771833"</f>
        <v>FES1162771833</v>
      </c>
      <c r="C3362" s="2" t="s">
        <v>2138</v>
      </c>
      <c r="D3362" s="2">
        <v>1</v>
      </c>
      <c r="E3362" s="2" t="str">
        <f>"2170758891"</f>
        <v>2170758891</v>
      </c>
      <c r="F3362" s="2" t="s">
        <v>17</v>
      </c>
      <c r="G3362" s="2" t="s">
        <v>18</v>
      </c>
      <c r="H3362" s="2" t="s">
        <v>88</v>
      </c>
      <c r="I3362" s="2" t="s">
        <v>109</v>
      </c>
      <c r="J3362" s="2" t="s">
        <v>141</v>
      </c>
      <c r="K3362" s="2" t="s">
        <v>2197</v>
      </c>
      <c r="L3362" s="3">
        <v>0.33749999999999997</v>
      </c>
      <c r="M3362" s="2" t="s">
        <v>1393</v>
      </c>
      <c r="N3362" s="2" t="s">
        <v>500</v>
      </c>
      <c r="O3362" s="2"/>
    </row>
    <row r="3363" spans="1:15" x14ac:dyDescent="0.25">
      <c r="A3363" s="2" t="s">
        <v>15</v>
      </c>
      <c r="B3363" s="2" t="str">
        <f>"FES1162771832"</f>
        <v>FES1162771832</v>
      </c>
      <c r="C3363" s="2" t="s">
        <v>2138</v>
      </c>
      <c r="D3363" s="2">
        <v>1</v>
      </c>
      <c r="E3363" s="2" t="str">
        <f>"2170758889"</f>
        <v>2170758889</v>
      </c>
      <c r="F3363" s="2" t="s">
        <v>17</v>
      </c>
      <c r="G3363" s="2" t="s">
        <v>18</v>
      </c>
      <c r="H3363" s="2" t="s">
        <v>36</v>
      </c>
      <c r="I3363" s="2" t="s">
        <v>37</v>
      </c>
      <c r="J3363" s="2" t="s">
        <v>104</v>
      </c>
      <c r="K3363" s="2" t="s">
        <v>2197</v>
      </c>
      <c r="L3363" s="3">
        <v>0.3611111111111111</v>
      </c>
      <c r="M3363" s="2" t="s">
        <v>672</v>
      </c>
      <c r="N3363" s="2" t="s">
        <v>500</v>
      </c>
      <c r="O3363" s="2"/>
    </row>
    <row r="3364" spans="1:15" x14ac:dyDescent="0.25">
      <c r="A3364" s="2" t="s">
        <v>15</v>
      </c>
      <c r="B3364" s="2" t="str">
        <f>"FES1162771842"</f>
        <v>FES1162771842</v>
      </c>
      <c r="C3364" s="2" t="s">
        <v>2138</v>
      </c>
      <c r="D3364" s="2">
        <v>1</v>
      </c>
      <c r="E3364" s="2" t="str">
        <f>"2170758897"</f>
        <v>2170758897</v>
      </c>
      <c r="F3364" s="2" t="s">
        <v>17</v>
      </c>
      <c r="G3364" s="2" t="s">
        <v>18</v>
      </c>
      <c r="H3364" s="2" t="s">
        <v>25</v>
      </c>
      <c r="I3364" s="2" t="s">
        <v>26</v>
      </c>
      <c r="J3364" s="2" t="s">
        <v>75</v>
      </c>
      <c r="K3364" s="2" t="s">
        <v>2197</v>
      </c>
      <c r="L3364" s="3">
        <v>0.34930555555555554</v>
      </c>
      <c r="M3364" s="2" t="s">
        <v>677</v>
      </c>
      <c r="N3364" s="2" t="s">
        <v>500</v>
      </c>
      <c r="O3364" s="2"/>
    </row>
    <row r="3365" spans="1:15" x14ac:dyDescent="0.25">
      <c r="A3365" s="2" t="s">
        <v>15</v>
      </c>
      <c r="B3365" s="2" t="str">
        <f>"FES1162771838"</f>
        <v>FES1162771838</v>
      </c>
      <c r="C3365" s="2" t="s">
        <v>2138</v>
      </c>
      <c r="D3365" s="2">
        <v>1</v>
      </c>
      <c r="E3365" s="2" t="str">
        <f>"2170758871"</f>
        <v>2170758871</v>
      </c>
      <c r="F3365" s="2" t="s">
        <v>17</v>
      </c>
      <c r="G3365" s="2" t="s">
        <v>18</v>
      </c>
      <c r="H3365" s="2" t="s">
        <v>25</v>
      </c>
      <c r="I3365" s="2" t="s">
        <v>26</v>
      </c>
      <c r="J3365" s="2" t="s">
        <v>422</v>
      </c>
      <c r="K3365" s="2" t="s">
        <v>2197</v>
      </c>
      <c r="L3365" s="3">
        <v>0.38541666666666669</v>
      </c>
      <c r="M3365" s="2" t="s">
        <v>2180</v>
      </c>
      <c r="N3365" s="2" t="s">
        <v>500</v>
      </c>
      <c r="O3365" s="2"/>
    </row>
    <row r="3366" spans="1:15" x14ac:dyDescent="0.25">
      <c r="A3366" s="2" t="s">
        <v>15</v>
      </c>
      <c r="B3366" s="2" t="str">
        <f>"FES1162771841"</f>
        <v>FES1162771841</v>
      </c>
      <c r="C3366" s="2" t="s">
        <v>2138</v>
      </c>
      <c r="D3366" s="2">
        <v>1</v>
      </c>
      <c r="E3366" s="2" t="str">
        <f>"2170758894"</f>
        <v>2170758894</v>
      </c>
      <c r="F3366" s="2" t="s">
        <v>17</v>
      </c>
      <c r="G3366" s="2" t="s">
        <v>18</v>
      </c>
      <c r="H3366" s="2" t="s">
        <v>19</v>
      </c>
      <c r="I3366" s="2" t="s">
        <v>20</v>
      </c>
      <c r="J3366" s="2" t="s">
        <v>664</v>
      </c>
      <c r="K3366" s="2" t="s">
        <v>2197</v>
      </c>
      <c r="L3366" s="3">
        <v>0.55486111111111114</v>
      </c>
      <c r="M3366" s="2" t="s">
        <v>2275</v>
      </c>
      <c r="N3366" s="2" t="s">
        <v>500</v>
      </c>
      <c r="O3366" s="2"/>
    </row>
    <row r="3367" spans="1:15" x14ac:dyDescent="0.25">
      <c r="A3367" s="2" t="s">
        <v>15</v>
      </c>
      <c r="B3367" s="2" t="str">
        <f>"FES1162771831"</f>
        <v>FES1162771831</v>
      </c>
      <c r="C3367" s="2" t="s">
        <v>2138</v>
      </c>
      <c r="D3367" s="2">
        <v>1</v>
      </c>
      <c r="E3367" s="2" t="str">
        <f>"2170758887"</f>
        <v>2170758887</v>
      </c>
      <c r="F3367" s="2" t="s">
        <v>17</v>
      </c>
      <c r="G3367" s="2" t="s">
        <v>18</v>
      </c>
      <c r="H3367" s="2" t="s">
        <v>88</v>
      </c>
      <c r="I3367" s="2" t="s">
        <v>109</v>
      </c>
      <c r="J3367" s="2" t="s">
        <v>452</v>
      </c>
      <c r="K3367" s="2" t="s">
        <v>2197</v>
      </c>
      <c r="L3367" s="3">
        <v>0.41666666666666669</v>
      </c>
      <c r="M3367" s="2" t="s">
        <v>557</v>
      </c>
      <c r="N3367" s="2" t="s">
        <v>500</v>
      </c>
      <c r="O3367" s="2"/>
    </row>
    <row r="3368" spans="1:15" x14ac:dyDescent="0.25">
      <c r="A3368" s="2" t="s">
        <v>15</v>
      </c>
      <c r="B3368" s="2" t="str">
        <f>"FES1162771846"</f>
        <v>FES1162771846</v>
      </c>
      <c r="C3368" s="2" t="s">
        <v>2138</v>
      </c>
      <c r="D3368" s="2">
        <v>1</v>
      </c>
      <c r="E3368" s="2" t="str">
        <f>"2170758900"</f>
        <v>2170758900</v>
      </c>
      <c r="F3368" s="2" t="s">
        <v>17</v>
      </c>
      <c r="G3368" s="2" t="s">
        <v>18</v>
      </c>
      <c r="H3368" s="2" t="s">
        <v>18</v>
      </c>
      <c r="I3368" s="2" t="s">
        <v>50</v>
      </c>
      <c r="J3368" s="2" t="s">
        <v>1789</v>
      </c>
      <c r="K3368" s="2" t="s">
        <v>2197</v>
      </c>
      <c r="L3368" s="3">
        <v>0.33333333333333331</v>
      </c>
      <c r="M3368" s="2" t="s">
        <v>2276</v>
      </c>
      <c r="N3368" s="2" t="s">
        <v>500</v>
      </c>
      <c r="O3368" s="2"/>
    </row>
    <row r="3369" spans="1:15" x14ac:dyDescent="0.25">
      <c r="A3369" s="2" t="s">
        <v>15</v>
      </c>
      <c r="B3369" s="2" t="str">
        <f>"FES1162771857"</f>
        <v>FES1162771857</v>
      </c>
      <c r="C3369" s="2" t="s">
        <v>2138</v>
      </c>
      <c r="D3369" s="2">
        <v>1</v>
      </c>
      <c r="E3369" s="2" t="str">
        <f>"2170758911"</f>
        <v>2170758911</v>
      </c>
      <c r="F3369" s="2" t="s">
        <v>17</v>
      </c>
      <c r="G3369" s="2" t="s">
        <v>18</v>
      </c>
      <c r="H3369" s="2" t="s">
        <v>18</v>
      </c>
      <c r="I3369" s="2" t="s">
        <v>57</v>
      </c>
      <c r="J3369" s="2" t="s">
        <v>119</v>
      </c>
      <c r="K3369" s="2" t="s">
        <v>2197</v>
      </c>
      <c r="L3369" s="3">
        <v>0.34583333333333338</v>
      </c>
      <c r="M3369" s="2" t="s">
        <v>230</v>
      </c>
      <c r="N3369" s="2" t="s">
        <v>500</v>
      </c>
      <c r="O3369" s="2"/>
    </row>
    <row r="3370" spans="1:15" x14ac:dyDescent="0.25">
      <c r="A3370" s="2" t="s">
        <v>15</v>
      </c>
      <c r="B3370" s="2" t="str">
        <f>"FES1162771839"</f>
        <v>FES1162771839</v>
      </c>
      <c r="C3370" s="2" t="s">
        <v>2138</v>
      </c>
      <c r="D3370" s="2">
        <v>1</v>
      </c>
      <c r="E3370" s="2" t="str">
        <f>"2170758875"</f>
        <v>2170758875</v>
      </c>
      <c r="F3370" s="2" t="s">
        <v>17</v>
      </c>
      <c r="G3370" s="2" t="s">
        <v>18</v>
      </c>
      <c r="H3370" s="2" t="s">
        <v>36</v>
      </c>
      <c r="I3370" s="2" t="s">
        <v>67</v>
      </c>
      <c r="J3370" s="2" t="s">
        <v>68</v>
      </c>
      <c r="K3370" s="2" t="s">
        <v>2197</v>
      </c>
      <c r="L3370" s="3">
        <v>0.41319444444444442</v>
      </c>
      <c r="M3370" s="2" t="s">
        <v>306</v>
      </c>
      <c r="N3370" s="2" t="s">
        <v>500</v>
      </c>
      <c r="O3370" s="2"/>
    </row>
    <row r="3371" spans="1:15" x14ac:dyDescent="0.25">
      <c r="A3371" s="2" t="s">
        <v>15</v>
      </c>
      <c r="B3371" s="2" t="str">
        <f>"FES1162771849"</f>
        <v>FES1162771849</v>
      </c>
      <c r="C3371" s="2" t="s">
        <v>2138</v>
      </c>
      <c r="D3371" s="2">
        <v>1</v>
      </c>
      <c r="E3371" s="2" t="str">
        <f>"2170758904"</f>
        <v>2170758904</v>
      </c>
      <c r="F3371" s="2" t="s">
        <v>17</v>
      </c>
      <c r="G3371" s="2" t="s">
        <v>18</v>
      </c>
      <c r="H3371" s="2" t="s">
        <v>36</v>
      </c>
      <c r="I3371" s="2" t="s">
        <v>37</v>
      </c>
      <c r="J3371" s="2" t="s">
        <v>54</v>
      </c>
      <c r="K3371" s="2" t="s">
        <v>2197</v>
      </c>
      <c r="L3371" s="3">
        <v>0.39583333333333331</v>
      </c>
      <c r="M3371" s="2" t="s">
        <v>308</v>
      </c>
      <c r="N3371" s="2" t="s">
        <v>500</v>
      </c>
      <c r="O3371" s="2"/>
    </row>
    <row r="3372" spans="1:15" x14ac:dyDescent="0.25">
      <c r="A3372" s="2" t="s">
        <v>15</v>
      </c>
      <c r="B3372" s="2" t="str">
        <f>"FES1162771858"</f>
        <v>FES1162771858</v>
      </c>
      <c r="C3372" s="2" t="s">
        <v>2138</v>
      </c>
      <c r="D3372" s="2">
        <v>1</v>
      </c>
      <c r="E3372" s="2" t="str">
        <f>"2170758912"</f>
        <v>2170758912</v>
      </c>
      <c r="F3372" s="2" t="s">
        <v>17</v>
      </c>
      <c r="G3372" s="2" t="s">
        <v>18</v>
      </c>
      <c r="H3372" s="2" t="s">
        <v>25</v>
      </c>
      <c r="I3372" s="2" t="s">
        <v>26</v>
      </c>
      <c r="J3372" s="2" t="s">
        <v>1146</v>
      </c>
      <c r="K3372" s="2" t="s">
        <v>2197</v>
      </c>
      <c r="L3372" s="3">
        <v>0.4152777777777778</v>
      </c>
      <c r="M3372" s="2" t="s">
        <v>1209</v>
      </c>
      <c r="N3372" s="2" t="s">
        <v>500</v>
      </c>
      <c r="O3372" s="2"/>
    </row>
    <row r="3373" spans="1:15" x14ac:dyDescent="0.25">
      <c r="A3373" s="2" t="s">
        <v>15</v>
      </c>
      <c r="B3373" s="2" t="str">
        <f>"FES1162771852"</f>
        <v>FES1162771852</v>
      </c>
      <c r="C3373" s="2" t="s">
        <v>2138</v>
      </c>
      <c r="D3373" s="2">
        <v>1</v>
      </c>
      <c r="E3373" s="2" t="str">
        <f>"2170753271"</f>
        <v>2170753271</v>
      </c>
      <c r="F3373" s="2" t="s">
        <v>17</v>
      </c>
      <c r="G3373" s="2" t="s">
        <v>18</v>
      </c>
      <c r="H3373" s="2" t="s">
        <v>36</v>
      </c>
      <c r="I3373" s="2" t="s">
        <v>37</v>
      </c>
      <c r="J3373" s="2" t="s">
        <v>162</v>
      </c>
      <c r="K3373" s="2" t="s">
        <v>2197</v>
      </c>
      <c r="L3373" s="3">
        <v>0.3888888888888889</v>
      </c>
      <c r="M3373" s="2" t="s">
        <v>268</v>
      </c>
      <c r="N3373" s="2" t="s">
        <v>500</v>
      </c>
      <c r="O3373" s="2"/>
    </row>
    <row r="3374" spans="1:15" x14ac:dyDescent="0.25">
      <c r="A3374" s="2" t="s">
        <v>15</v>
      </c>
      <c r="B3374" s="2" t="str">
        <f>"FES1162771847"</f>
        <v>FES1162771847</v>
      </c>
      <c r="C3374" s="2" t="s">
        <v>2138</v>
      </c>
      <c r="D3374" s="2">
        <v>1</v>
      </c>
      <c r="E3374" s="2" t="str">
        <f>"2170758902"</f>
        <v>2170758902</v>
      </c>
      <c r="F3374" s="2" t="s">
        <v>17</v>
      </c>
      <c r="G3374" s="2" t="s">
        <v>18</v>
      </c>
      <c r="H3374" s="2" t="s">
        <v>36</v>
      </c>
      <c r="I3374" s="2" t="s">
        <v>134</v>
      </c>
      <c r="J3374" s="2" t="s">
        <v>135</v>
      </c>
      <c r="K3374" s="2" t="s">
        <v>2197</v>
      </c>
      <c r="L3374" s="3">
        <v>0.42569444444444443</v>
      </c>
      <c r="M3374" s="2" t="s">
        <v>744</v>
      </c>
      <c r="N3374" s="2" t="s">
        <v>500</v>
      </c>
      <c r="O3374" s="2"/>
    </row>
    <row r="3375" spans="1:15" x14ac:dyDescent="0.25">
      <c r="A3375" s="2" t="s">
        <v>15</v>
      </c>
      <c r="B3375" s="2" t="str">
        <f>"FES1162771848"</f>
        <v>FES1162771848</v>
      </c>
      <c r="C3375" s="2" t="s">
        <v>2138</v>
      </c>
      <c r="D3375" s="2">
        <v>1</v>
      </c>
      <c r="E3375" s="2" t="str">
        <f>"2170758903"</f>
        <v>2170758903</v>
      </c>
      <c r="F3375" s="2" t="s">
        <v>17</v>
      </c>
      <c r="G3375" s="2" t="s">
        <v>18</v>
      </c>
      <c r="H3375" s="2" t="s">
        <v>36</v>
      </c>
      <c r="I3375" s="2" t="s">
        <v>37</v>
      </c>
      <c r="J3375" s="2" t="s">
        <v>54</v>
      </c>
      <c r="K3375" s="2" t="s">
        <v>2197</v>
      </c>
      <c r="L3375" s="3">
        <v>0.4375</v>
      </c>
      <c r="M3375" s="2" t="s">
        <v>2277</v>
      </c>
      <c r="N3375" s="2" t="s">
        <v>500</v>
      </c>
      <c r="O3375" s="2"/>
    </row>
    <row r="3376" spans="1:15" x14ac:dyDescent="0.25">
      <c r="A3376" s="2" t="s">
        <v>15</v>
      </c>
      <c r="B3376" s="2" t="str">
        <f>"FES1162771834"</f>
        <v>FES1162771834</v>
      </c>
      <c r="C3376" s="2" t="s">
        <v>2138</v>
      </c>
      <c r="D3376" s="2">
        <v>1</v>
      </c>
      <c r="E3376" s="2" t="str">
        <f>"2170758892"</f>
        <v>2170758892</v>
      </c>
      <c r="F3376" s="2" t="s">
        <v>17</v>
      </c>
      <c r="G3376" s="2" t="s">
        <v>18</v>
      </c>
      <c r="H3376" s="2" t="s">
        <v>19</v>
      </c>
      <c r="I3376" s="2" t="s">
        <v>20</v>
      </c>
      <c r="J3376" s="2" t="s">
        <v>482</v>
      </c>
      <c r="K3376" s="2" t="s">
        <v>2197</v>
      </c>
      <c r="L3376" s="3">
        <v>0.55555555555555558</v>
      </c>
      <c r="M3376" s="2" t="s">
        <v>2278</v>
      </c>
      <c r="N3376" s="2" t="s">
        <v>500</v>
      </c>
      <c r="O3376" s="2"/>
    </row>
    <row r="3377" spans="1:15" x14ac:dyDescent="0.25">
      <c r="A3377" s="2" t="s">
        <v>15</v>
      </c>
      <c r="B3377" s="2" t="str">
        <f>"FES1162771837"</f>
        <v>FES1162771837</v>
      </c>
      <c r="C3377" s="2" t="s">
        <v>2138</v>
      </c>
      <c r="D3377" s="2">
        <v>1</v>
      </c>
      <c r="E3377" s="2" t="str">
        <f>"2170758865"</f>
        <v>2170758865</v>
      </c>
      <c r="F3377" s="2" t="s">
        <v>17</v>
      </c>
      <c r="G3377" s="2" t="s">
        <v>18</v>
      </c>
      <c r="H3377" s="2" t="s">
        <v>19</v>
      </c>
      <c r="I3377" s="2" t="s">
        <v>149</v>
      </c>
      <c r="J3377" s="2" t="s">
        <v>150</v>
      </c>
      <c r="K3377" s="2" t="s">
        <v>2282</v>
      </c>
      <c r="L3377" s="3">
        <v>0.46597222222222223</v>
      </c>
      <c r="M3377" s="2" t="s">
        <v>246</v>
      </c>
      <c r="N3377" s="2" t="s">
        <v>500</v>
      </c>
      <c r="O3377" s="2"/>
    </row>
    <row r="3378" spans="1:15" x14ac:dyDescent="0.25">
      <c r="A3378" s="2" t="s">
        <v>15</v>
      </c>
      <c r="B3378" s="2" t="str">
        <f>"FES1162771861"</f>
        <v>FES1162771861</v>
      </c>
      <c r="C3378" s="2" t="s">
        <v>2138</v>
      </c>
      <c r="D3378" s="2">
        <v>1</v>
      </c>
      <c r="E3378" s="2" t="str">
        <f>"2170758915"</f>
        <v>2170758915</v>
      </c>
      <c r="F3378" s="2" t="s">
        <v>17</v>
      </c>
      <c r="G3378" s="2" t="s">
        <v>18</v>
      </c>
      <c r="H3378" s="2" t="s">
        <v>19</v>
      </c>
      <c r="I3378" s="2" t="s">
        <v>130</v>
      </c>
      <c r="J3378" s="2" t="s">
        <v>131</v>
      </c>
      <c r="K3378" s="2" t="s">
        <v>2197</v>
      </c>
      <c r="L3378" s="3">
        <v>0.41736111111111113</v>
      </c>
      <c r="M3378" s="2" t="s">
        <v>236</v>
      </c>
      <c r="N3378" s="2" t="s">
        <v>500</v>
      </c>
      <c r="O3378" s="2"/>
    </row>
    <row r="3379" spans="1:15" x14ac:dyDescent="0.25">
      <c r="A3379" s="2" t="s">
        <v>15</v>
      </c>
      <c r="B3379" s="2" t="str">
        <f>"FES1162771845"</f>
        <v>FES1162771845</v>
      </c>
      <c r="C3379" s="2" t="s">
        <v>2138</v>
      </c>
      <c r="D3379" s="2">
        <v>1</v>
      </c>
      <c r="E3379" s="2" t="str">
        <f>"2170758899"</f>
        <v>2170758899</v>
      </c>
      <c r="F3379" s="2" t="s">
        <v>17</v>
      </c>
      <c r="G3379" s="2" t="s">
        <v>18</v>
      </c>
      <c r="H3379" s="2" t="s">
        <v>36</v>
      </c>
      <c r="I3379" s="2" t="s">
        <v>37</v>
      </c>
      <c r="J3379" s="2" t="s">
        <v>378</v>
      </c>
      <c r="K3379" s="2" t="s">
        <v>2197</v>
      </c>
      <c r="L3379" s="3">
        <v>0.43055555555555558</v>
      </c>
      <c r="M3379" s="2" t="s">
        <v>379</v>
      </c>
      <c r="N3379" s="2" t="s">
        <v>500</v>
      </c>
      <c r="O3379" s="2"/>
    </row>
    <row r="3380" spans="1:15" x14ac:dyDescent="0.25">
      <c r="A3380" s="2" t="s">
        <v>15</v>
      </c>
      <c r="B3380" s="2" t="str">
        <f>"FES1162771851"</f>
        <v>FES1162771851</v>
      </c>
      <c r="C3380" s="2" t="s">
        <v>2138</v>
      </c>
      <c r="D3380" s="2">
        <v>1</v>
      </c>
      <c r="E3380" s="2" t="str">
        <f>"2170757141"</f>
        <v>2170757141</v>
      </c>
      <c r="F3380" s="2" t="s">
        <v>17</v>
      </c>
      <c r="G3380" s="2" t="s">
        <v>18</v>
      </c>
      <c r="H3380" s="2" t="s">
        <v>36</v>
      </c>
      <c r="I3380" s="2" t="s">
        <v>37</v>
      </c>
      <c r="J3380" s="2" t="s">
        <v>1455</v>
      </c>
      <c r="K3380" s="2" t="s">
        <v>2197</v>
      </c>
      <c r="L3380" s="3">
        <v>0.38194444444444442</v>
      </c>
      <c r="M3380" s="2" t="s">
        <v>2279</v>
      </c>
      <c r="N3380" s="2" t="s">
        <v>500</v>
      </c>
      <c r="O3380" s="2"/>
    </row>
    <row r="3381" spans="1:15" x14ac:dyDescent="0.25">
      <c r="A3381" s="2" t="s">
        <v>15</v>
      </c>
      <c r="B3381" s="2" t="str">
        <f>"FES1162771860"</f>
        <v>FES1162771860</v>
      </c>
      <c r="C3381" s="2" t="s">
        <v>2138</v>
      </c>
      <c r="D3381" s="2">
        <v>1</v>
      </c>
      <c r="E3381" s="2" t="str">
        <f>"2170758914"</f>
        <v>2170758914</v>
      </c>
      <c r="F3381" s="2" t="s">
        <v>17</v>
      </c>
      <c r="G3381" s="2" t="s">
        <v>18</v>
      </c>
      <c r="H3381" s="2" t="s">
        <v>18</v>
      </c>
      <c r="I3381" s="2" t="s">
        <v>57</v>
      </c>
      <c r="J3381" s="2" t="s">
        <v>119</v>
      </c>
      <c r="K3381" s="2" t="s">
        <v>2197</v>
      </c>
      <c r="L3381" s="3">
        <v>0.34583333333333338</v>
      </c>
      <c r="M3381" s="2" t="s">
        <v>230</v>
      </c>
      <c r="N3381" s="2" t="s">
        <v>500</v>
      </c>
      <c r="O3381" s="2"/>
    </row>
    <row r="3382" spans="1:15" x14ac:dyDescent="0.25">
      <c r="A3382" s="2" t="s">
        <v>15</v>
      </c>
      <c r="B3382" s="2" t="str">
        <f>"FES1162771862"</f>
        <v>FES1162771862</v>
      </c>
      <c r="C3382" s="2" t="s">
        <v>2138</v>
      </c>
      <c r="D3382" s="2">
        <v>1</v>
      </c>
      <c r="E3382" s="2" t="str">
        <f>"2170758918"</f>
        <v>2170758918</v>
      </c>
      <c r="F3382" s="2" t="s">
        <v>17</v>
      </c>
      <c r="G3382" s="2" t="s">
        <v>18</v>
      </c>
      <c r="H3382" s="2" t="s">
        <v>25</v>
      </c>
      <c r="I3382" s="2" t="s">
        <v>39</v>
      </c>
      <c r="J3382" s="2" t="s">
        <v>161</v>
      </c>
      <c r="K3382" s="2" t="s">
        <v>2197</v>
      </c>
      <c r="L3382" s="3">
        <v>0.40416666666666662</v>
      </c>
      <c r="M3382" s="2" t="s">
        <v>977</v>
      </c>
      <c r="N3382" s="2" t="s">
        <v>500</v>
      </c>
      <c r="O3382" s="2"/>
    </row>
    <row r="3383" spans="1:15" x14ac:dyDescent="0.25">
      <c r="A3383" s="2" t="s">
        <v>15</v>
      </c>
      <c r="B3383" s="2" t="str">
        <f>"FES1162771859"</f>
        <v>FES1162771859</v>
      </c>
      <c r="C3383" s="2" t="s">
        <v>2138</v>
      </c>
      <c r="D3383" s="2">
        <v>1</v>
      </c>
      <c r="E3383" s="2" t="str">
        <f>"2170758913"</f>
        <v>2170758913</v>
      </c>
      <c r="F3383" s="2" t="s">
        <v>17</v>
      </c>
      <c r="G3383" s="2" t="s">
        <v>18</v>
      </c>
      <c r="H3383" s="2" t="s">
        <v>18</v>
      </c>
      <c r="I3383" s="2" t="s">
        <v>63</v>
      </c>
      <c r="J3383" s="2" t="s">
        <v>421</v>
      </c>
      <c r="K3383" s="2" t="s">
        <v>2197</v>
      </c>
      <c r="L3383" s="3">
        <v>0.36180555555555555</v>
      </c>
      <c r="M3383" s="2" t="s">
        <v>525</v>
      </c>
      <c r="N3383" s="2" t="s">
        <v>500</v>
      </c>
      <c r="O3383" s="2"/>
    </row>
    <row r="3384" spans="1:15" x14ac:dyDescent="0.25">
      <c r="A3384" s="2" t="s">
        <v>15</v>
      </c>
      <c r="B3384" s="2" t="str">
        <f>"FES1162771855"</f>
        <v>FES1162771855</v>
      </c>
      <c r="C3384" s="2" t="s">
        <v>2138</v>
      </c>
      <c r="D3384" s="2">
        <v>1</v>
      </c>
      <c r="E3384" s="2" t="str">
        <f>"2170758909"</f>
        <v>2170758909</v>
      </c>
      <c r="F3384" s="2" t="s">
        <v>17</v>
      </c>
      <c r="G3384" s="2" t="s">
        <v>18</v>
      </c>
      <c r="H3384" s="2" t="s">
        <v>36</v>
      </c>
      <c r="I3384" s="2" t="s">
        <v>37</v>
      </c>
      <c r="J3384" s="2" t="s">
        <v>55</v>
      </c>
      <c r="K3384" s="2" t="s">
        <v>2197</v>
      </c>
      <c r="L3384" s="3">
        <v>0.35347222222222219</v>
      </c>
      <c r="M3384" s="2" t="s">
        <v>305</v>
      </c>
      <c r="N3384" s="2" t="s">
        <v>500</v>
      </c>
      <c r="O3384" s="2"/>
    </row>
    <row r="3385" spans="1:15" x14ac:dyDescent="0.25">
      <c r="A3385" s="2" t="s">
        <v>15</v>
      </c>
      <c r="B3385" s="2" t="str">
        <f>"FES1162771742"</f>
        <v>FES1162771742</v>
      </c>
      <c r="C3385" s="2" t="s">
        <v>2138</v>
      </c>
      <c r="D3385" s="2">
        <v>1</v>
      </c>
      <c r="E3385" s="2" t="str">
        <f>"2170758596"</f>
        <v>2170758596</v>
      </c>
      <c r="F3385" s="2" t="s">
        <v>17</v>
      </c>
      <c r="G3385" s="2" t="s">
        <v>18</v>
      </c>
      <c r="H3385" s="2" t="s">
        <v>18</v>
      </c>
      <c r="I3385" s="2" t="s">
        <v>63</v>
      </c>
      <c r="J3385" s="2" t="s">
        <v>1670</v>
      </c>
      <c r="K3385" s="2" t="s">
        <v>2197</v>
      </c>
      <c r="L3385" s="3">
        <v>0.3520833333333333</v>
      </c>
      <c r="M3385" s="2" t="s">
        <v>2257</v>
      </c>
      <c r="N3385" s="2" t="s">
        <v>500</v>
      </c>
      <c r="O3385" s="2"/>
    </row>
    <row r="3386" spans="1:15" x14ac:dyDescent="0.25">
      <c r="A3386" s="2" t="s">
        <v>15</v>
      </c>
      <c r="B3386" s="2" t="str">
        <f>"FES1162771863"</f>
        <v>FES1162771863</v>
      </c>
      <c r="C3386" s="2" t="s">
        <v>2138</v>
      </c>
      <c r="D3386" s="2">
        <v>1</v>
      </c>
      <c r="E3386" s="2" t="str">
        <f>"2170758921"</f>
        <v>2170758921</v>
      </c>
      <c r="F3386" s="2" t="s">
        <v>17</v>
      </c>
      <c r="G3386" s="2" t="s">
        <v>18</v>
      </c>
      <c r="H3386" s="2" t="s">
        <v>18</v>
      </c>
      <c r="I3386" s="2" t="s">
        <v>105</v>
      </c>
      <c r="J3386" s="2" t="s">
        <v>2216</v>
      </c>
      <c r="K3386" s="2" t="s">
        <v>2197</v>
      </c>
      <c r="L3386" s="3">
        <v>0.4375</v>
      </c>
      <c r="M3386" s="2" t="s">
        <v>2280</v>
      </c>
      <c r="N3386" s="2" t="s">
        <v>500</v>
      </c>
      <c r="O3386" s="2"/>
    </row>
    <row r="3387" spans="1:15" x14ac:dyDescent="0.25">
      <c r="A3387" s="2" t="s">
        <v>15</v>
      </c>
      <c r="B3387" s="2" t="str">
        <f>"FES1162771853"</f>
        <v>FES1162771853</v>
      </c>
      <c r="C3387" s="2" t="s">
        <v>2138</v>
      </c>
      <c r="D3387" s="2">
        <v>1</v>
      </c>
      <c r="E3387" s="2" t="str">
        <f>"2170758895"</f>
        <v>2170758895</v>
      </c>
      <c r="F3387" s="2" t="s">
        <v>17</v>
      </c>
      <c r="G3387" s="2" t="s">
        <v>18</v>
      </c>
      <c r="H3387" s="2" t="s">
        <v>36</v>
      </c>
      <c r="I3387" s="2" t="s">
        <v>37</v>
      </c>
      <c r="J3387" s="2" t="s">
        <v>102</v>
      </c>
      <c r="K3387" s="2" t="s">
        <v>2197</v>
      </c>
      <c r="L3387" s="3">
        <v>0.39930555555555558</v>
      </c>
      <c r="M3387" s="2" t="s">
        <v>219</v>
      </c>
      <c r="N3387" s="2" t="s">
        <v>500</v>
      </c>
      <c r="O3387" s="2"/>
    </row>
    <row r="3388" spans="1:15" x14ac:dyDescent="0.25">
      <c r="A3388" s="2" t="s">
        <v>15</v>
      </c>
      <c r="B3388" s="2" t="str">
        <f>"FES1162771856"</f>
        <v>FES1162771856</v>
      </c>
      <c r="C3388" s="2" t="s">
        <v>2138</v>
      </c>
      <c r="D3388" s="2">
        <v>1</v>
      </c>
      <c r="E3388" s="2" t="str">
        <f>"2170758910"</f>
        <v>2170758910</v>
      </c>
      <c r="F3388" s="2" t="s">
        <v>17</v>
      </c>
      <c r="G3388" s="2" t="s">
        <v>18</v>
      </c>
      <c r="H3388" s="2" t="s">
        <v>36</v>
      </c>
      <c r="I3388" s="2" t="s">
        <v>37</v>
      </c>
      <c r="J3388" s="2" t="s">
        <v>55</v>
      </c>
      <c r="K3388" s="2" t="s">
        <v>2197</v>
      </c>
      <c r="L3388" s="3">
        <v>0.35347222222222219</v>
      </c>
      <c r="M3388" s="2" t="s">
        <v>305</v>
      </c>
      <c r="N3388" s="2" t="s">
        <v>500</v>
      </c>
      <c r="O3388" s="2"/>
    </row>
    <row r="3389" spans="1:15" x14ac:dyDescent="0.25">
      <c r="A3389" s="2" t="s">
        <v>15</v>
      </c>
      <c r="B3389" s="2" t="str">
        <f>"FES1162771555"</f>
        <v>FES1162771555</v>
      </c>
      <c r="C3389" s="2" t="s">
        <v>2138</v>
      </c>
      <c r="D3389" s="2">
        <v>1</v>
      </c>
      <c r="E3389" s="2" t="str">
        <f>"2170758389"</f>
        <v>2170758389</v>
      </c>
      <c r="F3389" s="2" t="s">
        <v>17</v>
      </c>
      <c r="G3389" s="2" t="s">
        <v>18</v>
      </c>
      <c r="H3389" s="2" t="s">
        <v>18</v>
      </c>
      <c r="I3389" s="2" t="s">
        <v>105</v>
      </c>
      <c r="J3389" s="2" t="s">
        <v>2217</v>
      </c>
      <c r="K3389" s="2" t="s">
        <v>2197</v>
      </c>
      <c r="L3389" s="3">
        <v>0.4375</v>
      </c>
      <c r="M3389" s="2" t="s">
        <v>2281</v>
      </c>
      <c r="N3389" s="2" t="s">
        <v>500</v>
      </c>
      <c r="O3389" s="2"/>
    </row>
    <row r="3390" spans="1:15" x14ac:dyDescent="0.25">
      <c r="A3390" s="2" t="s">
        <v>15</v>
      </c>
      <c r="B3390" s="2" t="str">
        <f>"FES1162771836"</f>
        <v>FES1162771836</v>
      </c>
      <c r="C3390" s="2" t="s">
        <v>2138</v>
      </c>
      <c r="D3390" s="2">
        <v>1</v>
      </c>
      <c r="E3390" s="2" t="str">
        <f>"2170757964"</f>
        <v>2170757964</v>
      </c>
      <c r="F3390" s="2" t="s">
        <v>17</v>
      </c>
      <c r="G3390" s="2" t="s">
        <v>18</v>
      </c>
      <c r="H3390" s="2" t="s">
        <v>18</v>
      </c>
      <c r="I3390" s="2" t="s">
        <v>82</v>
      </c>
      <c r="J3390" s="2" t="s">
        <v>83</v>
      </c>
      <c r="K3390" s="2" t="s">
        <v>2197</v>
      </c>
      <c r="L3390" s="3">
        <v>0.3666666666666667</v>
      </c>
      <c r="M3390" s="2" t="s">
        <v>2263</v>
      </c>
      <c r="N3390" s="2" t="s">
        <v>500</v>
      </c>
      <c r="O3390" s="2"/>
    </row>
    <row r="3391" spans="1:15" x14ac:dyDescent="0.25">
      <c r="A3391" s="2" t="s">
        <v>15</v>
      </c>
      <c r="B3391" s="2" t="str">
        <f>"FES162771912"</f>
        <v>FES162771912</v>
      </c>
      <c r="C3391" s="2" t="s">
        <v>2197</v>
      </c>
      <c r="D3391" s="2">
        <v>1</v>
      </c>
      <c r="E3391" s="2" t="str">
        <f>"2170757907"</f>
        <v>2170757907</v>
      </c>
      <c r="F3391" s="2" t="s">
        <v>17</v>
      </c>
      <c r="G3391" s="2" t="s">
        <v>18</v>
      </c>
      <c r="H3391" s="2" t="s">
        <v>18</v>
      </c>
      <c r="I3391" s="2" t="s">
        <v>46</v>
      </c>
      <c r="J3391" s="2" t="s">
        <v>139</v>
      </c>
      <c r="K3391" s="2" t="s">
        <v>2282</v>
      </c>
      <c r="L3391" s="3">
        <v>0.2951388888888889</v>
      </c>
      <c r="M3391" s="2" t="s">
        <v>838</v>
      </c>
      <c r="N3391" s="2" t="s">
        <v>500</v>
      </c>
      <c r="O3391" s="2"/>
    </row>
    <row r="3392" spans="1:15" x14ac:dyDescent="0.25">
      <c r="A3392" s="2" t="s">
        <v>15</v>
      </c>
      <c r="B3392" s="2" t="str">
        <f>"FES1162771923"</f>
        <v>FES1162771923</v>
      </c>
      <c r="C3392" s="2" t="s">
        <v>2197</v>
      </c>
      <c r="D3392" s="2">
        <v>1</v>
      </c>
      <c r="E3392" s="2" t="str">
        <f>"2170758597"</f>
        <v>2170758597</v>
      </c>
      <c r="F3392" s="2" t="s">
        <v>17</v>
      </c>
      <c r="G3392" s="2" t="s">
        <v>18</v>
      </c>
      <c r="H3392" s="2" t="s">
        <v>18</v>
      </c>
      <c r="I3392" s="2" t="s">
        <v>163</v>
      </c>
      <c r="J3392" s="2" t="s">
        <v>2283</v>
      </c>
      <c r="K3392" s="2" t="s">
        <v>2282</v>
      </c>
      <c r="L3392" s="3">
        <v>0.42569444444444443</v>
      </c>
      <c r="M3392" s="2" t="s">
        <v>2317</v>
      </c>
      <c r="N3392" s="2" t="s">
        <v>500</v>
      </c>
      <c r="O3392" s="2"/>
    </row>
    <row r="3393" spans="1:15" x14ac:dyDescent="0.25">
      <c r="A3393" s="2" t="s">
        <v>15</v>
      </c>
      <c r="B3393" s="2" t="str">
        <f>"FES1162771920"</f>
        <v>FES1162771920</v>
      </c>
      <c r="C3393" s="2" t="s">
        <v>2197</v>
      </c>
      <c r="D3393" s="2">
        <v>1</v>
      </c>
      <c r="E3393" s="2" t="str">
        <f>"2170758381"</f>
        <v>2170758381</v>
      </c>
      <c r="F3393" s="2" t="s">
        <v>17</v>
      </c>
      <c r="G3393" s="2" t="s">
        <v>18</v>
      </c>
      <c r="H3393" s="2" t="s">
        <v>18</v>
      </c>
      <c r="I3393" s="2" t="s">
        <v>116</v>
      </c>
      <c r="J3393" s="2" t="s">
        <v>1457</v>
      </c>
      <c r="K3393" s="2" t="s">
        <v>2282</v>
      </c>
      <c r="L3393" s="3">
        <v>0.3611111111111111</v>
      </c>
      <c r="M3393" s="2" t="s">
        <v>328</v>
      </c>
      <c r="N3393" s="2" t="s">
        <v>500</v>
      </c>
      <c r="O3393" s="2"/>
    </row>
    <row r="3394" spans="1:15" x14ac:dyDescent="0.25">
      <c r="A3394" s="2" t="s">
        <v>15</v>
      </c>
      <c r="B3394" s="2" t="str">
        <f>"FES1162771931"</f>
        <v>FES1162771931</v>
      </c>
      <c r="C3394" s="2" t="s">
        <v>2197</v>
      </c>
      <c r="D3394" s="2">
        <v>1</v>
      </c>
      <c r="E3394" s="2" t="str">
        <f>"2170758882"</f>
        <v>2170758882</v>
      </c>
      <c r="F3394" s="2" t="s">
        <v>17</v>
      </c>
      <c r="G3394" s="2" t="s">
        <v>18</v>
      </c>
      <c r="H3394" s="2" t="s">
        <v>25</v>
      </c>
      <c r="I3394" s="2" t="s">
        <v>345</v>
      </c>
      <c r="J3394" s="2" t="s">
        <v>346</v>
      </c>
      <c r="K3394" s="2" t="s">
        <v>2356</v>
      </c>
      <c r="L3394" s="3">
        <v>0.3347222222222222</v>
      </c>
      <c r="M3394" s="2" t="s">
        <v>544</v>
      </c>
      <c r="N3394" s="2" t="s">
        <v>500</v>
      </c>
      <c r="O3394" s="2"/>
    </row>
    <row r="3395" spans="1:15" x14ac:dyDescent="0.25">
      <c r="A3395" s="2" t="s">
        <v>15</v>
      </c>
      <c r="B3395" s="2" t="str">
        <f>"FES1162771886"</f>
        <v>FES1162771886</v>
      </c>
      <c r="C3395" s="2" t="s">
        <v>2197</v>
      </c>
      <c r="D3395" s="2">
        <v>1</v>
      </c>
      <c r="E3395" s="2" t="str">
        <f>"2170754605"</f>
        <v>2170754605</v>
      </c>
      <c r="F3395" s="2" t="s">
        <v>17</v>
      </c>
      <c r="G3395" s="2" t="s">
        <v>18</v>
      </c>
      <c r="H3395" s="2" t="s">
        <v>19</v>
      </c>
      <c r="I3395" s="2" t="s">
        <v>20</v>
      </c>
      <c r="J3395" s="2" t="s">
        <v>128</v>
      </c>
      <c r="K3395" s="2" t="s">
        <v>2282</v>
      </c>
      <c r="L3395" s="3">
        <v>0.31388888888888888</v>
      </c>
      <c r="M3395" s="2" t="s">
        <v>1723</v>
      </c>
      <c r="N3395" s="2" t="s">
        <v>500</v>
      </c>
      <c r="O3395" s="2"/>
    </row>
    <row r="3396" spans="1:15" x14ac:dyDescent="0.25">
      <c r="A3396" s="2" t="s">
        <v>15</v>
      </c>
      <c r="B3396" s="2" t="str">
        <f>"FES1162771950"</f>
        <v>FES1162771950</v>
      </c>
      <c r="C3396" s="2" t="s">
        <v>2197</v>
      </c>
      <c r="D3396" s="2">
        <v>1</v>
      </c>
      <c r="E3396" s="2" t="str">
        <f>"2170758962"</f>
        <v>2170758962</v>
      </c>
      <c r="F3396" s="2" t="s">
        <v>17</v>
      </c>
      <c r="G3396" s="2" t="s">
        <v>18</v>
      </c>
      <c r="H3396" s="2" t="s">
        <v>19</v>
      </c>
      <c r="I3396" s="2" t="s">
        <v>20</v>
      </c>
      <c r="J3396" s="2" t="s">
        <v>482</v>
      </c>
      <c r="K3396" s="2" t="s">
        <v>2356</v>
      </c>
      <c r="L3396" s="3">
        <v>0.3666666666666667</v>
      </c>
      <c r="M3396" s="2" t="s">
        <v>2441</v>
      </c>
      <c r="N3396" s="2" t="s">
        <v>500</v>
      </c>
      <c r="O3396" s="2"/>
    </row>
    <row r="3397" spans="1:15" x14ac:dyDescent="0.25">
      <c r="A3397" s="2" t="s">
        <v>15</v>
      </c>
      <c r="B3397" s="2" t="str">
        <f>"FES1162771900"</f>
        <v>FES1162771900</v>
      </c>
      <c r="C3397" s="2" t="s">
        <v>2197</v>
      </c>
      <c r="D3397" s="2">
        <v>1</v>
      </c>
      <c r="E3397" s="2" t="str">
        <f>"2170757116"</f>
        <v>2170757116</v>
      </c>
      <c r="F3397" s="2" t="s">
        <v>17</v>
      </c>
      <c r="G3397" s="2" t="s">
        <v>18</v>
      </c>
      <c r="H3397" s="2" t="s">
        <v>19</v>
      </c>
      <c r="I3397" s="2" t="s">
        <v>111</v>
      </c>
      <c r="J3397" s="2" t="s">
        <v>405</v>
      </c>
      <c r="K3397" s="2" t="s">
        <v>2282</v>
      </c>
      <c r="L3397" s="3">
        <v>0.3215277777777778</v>
      </c>
      <c r="M3397" s="2" t="s">
        <v>2284</v>
      </c>
      <c r="N3397" s="2" t="s">
        <v>500</v>
      </c>
      <c r="O3397" s="2"/>
    </row>
    <row r="3398" spans="1:15" x14ac:dyDescent="0.25">
      <c r="A3398" s="2" t="s">
        <v>15</v>
      </c>
      <c r="B3398" s="2" t="str">
        <f>"FES1162771879"</f>
        <v>FES1162771879</v>
      </c>
      <c r="C3398" s="2" t="s">
        <v>2197</v>
      </c>
      <c r="D3398" s="2">
        <v>1</v>
      </c>
      <c r="E3398" s="2" t="str">
        <f>"2170758937"</f>
        <v>2170758937</v>
      </c>
      <c r="F3398" s="2" t="s">
        <v>17</v>
      </c>
      <c r="G3398" s="2" t="s">
        <v>18</v>
      </c>
      <c r="H3398" s="2" t="s">
        <v>19</v>
      </c>
      <c r="I3398" s="2" t="s">
        <v>130</v>
      </c>
      <c r="J3398" s="2" t="s">
        <v>131</v>
      </c>
      <c r="K3398" s="2" t="s">
        <v>2282</v>
      </c>
      <c r="L3398" s="3">
        <v>0.40486111111111112</v>
      </c>
      <c r="M3398" s="2" t="s">
        <v>236</v>
      </c>
      <c r="N3398" s="2" t="s">
        <v>500</v>
      </c>
      <c r="O3398" s="2"/>
    </row>
    <row r="3399" spans="1:15" x14ac:dyDescent="0.25">
      <c r="A3399" s="2" t="s">
        <v>15</v>
      </c>
      <c r="B3399" s="2" t="str">
        <f>"FES1162771898"</f>
        <v>FES1162771898</v>
      </c>
      <c r="C3399" s="2" t="s">
        <v>2197</v>
      </c>
      <c r="D3399" s="2">
        <v>1</v>
      </c>
      <c r="E3399" s="2" t="str">
        <f>"2170756963"</f>
        <v>2170756963</v>
      </c>
      <c r="F3399" s="2" t="s">
        <v>17</v>
      </c>
      <c r="G3399" s="2" t="s">
        <v>18</v>
      </c>
      <c r="H3399" s="2" t="s">
        <v>19</v>
      </c>
      <c r="I3399" s="2" t="s">
        <v>1024</v>
      </c>
      <c r="J3399" s="2" t="s">
        <v>2285</v>
      </c>
      <c r="K3399" s="2" t="s">
        <v>2282</v>
      </c>
      <c r="L3399" s="3">
        <v>0.42430555555555555</v>
      </c>
      <c r="M3399" s="2" t="s">
        <v>2318</v>
      </c>
      <c r="N3399" s="2" t="s">
        <v>500</v>
      </c>
      <c r="O3399" s="2"/>
    </row>
    <row r="3400" spans="1:15" x14ac:dyDescent="0.25">
      <c r="A3400" s="2" t="s">
        <v>15</v>
      </c>
      <c r="B3400" s="2" t="str">
        <f>"FES1162771896"</f>
        <v>FES1162771896</v>
      </c>
      <c r="C3400" s="2" t="s">
        <v>2197</v>
      </c>
      <c r="D3400" s="2">
        <v>1</v>
      </c>
      <c r="E3400" s="2" t="str">
        <f>"2170756788"</f>
        <v>2170756788</v>
      </c>
      <c r="F3400" s="2" t="s">
        <v>17</v>
      </c>
      <c r="G3400" s="2" t="s">
        <v>18</v>
      </c>
      <c r="H3400" s="2" t="s">
        <v>25</v>
      </c>
      <c r="I3400" s="2" t="s">
        <v>26</v>
      </c>
      <c r="J3400" s="2" t="s">
        <v>27</v>
      </c>
      <c r="K3400" s="2" t="s">
        <v>2282</v>
      </c>
      <c r="L3400" s="3">
        <v>0.39374999999999999</v>
      </c>
      <c r="M3400" s="2" t="s">
        <v>521</v>
      </c>
      <c r="N3400" s="2" t="s">
        <v>500</v>
      </c>
      <c r="O3400" s="2"/>
    </row>
    <row r="3401" spans="1:15" x14ac:dyDescent="0.25">
      <c r="A3401" s="2" t="s">
        <v>15</v>
      </c>
      <c r="B3401" s="2" t="str">
        <f>"FES1162771929"</f>
        <v>FES1162771929</v>
      </c>
      <c r="C3401" s="2" t="s">
        <v>2197</v>
      </c>
      <c r="D3401" s="2">
        <v>1</v>
      </c>
      <c r="E3401" s="2" t="str">
        <f>"2170758829"</f>
        <v>2170758829</v>
      </c>
      <c r="F3401" s="2" t="s">
        <v>17</v>
      </c>
      <c r="G3401" s="2" t="s">
        <v>18</v>
      </c>
      <c r="H3401" s="2" t="s">
        <v>25</v>
      </c>
      <c r="I3401" s="2" t="s">
        <v>345</v>
      </c>
      <c r="J3401" s="2" t="s">
        <v>346</v>
      </c>
      <c r="K3401" s="2" t="s">
        <v>2356</v>
      </c>
      <c r="L3401" s="3">
        <v>0.3347222222222222</v>
      </c>
      <c r="M3401" s="2" t="s">
        <v>544</v>
      </c>
      <c r="N3401" s="2" t="s">
        <v>500</v>
      </c>
      <c r="O3401" s="2"/>
    </row>
    <row r="3402" spans="1:15" x14ac:dyDescent="0.25">
      <c r="A3402" s="2" t="s">
        <v>15</v>
      </c>
      <c r="B3402" s="2" t="str">
        <f>"FES1162771926"</f>
        <v>FES1162771926</v>
      </c>
      <c r="C3402" s="2" t="s">
        <v>2197</v>
      </c>
      <c r="D3402" s="2">
        <v>1</v>
      </c>
      <c r="E3402" s="2" t="str">
        <f>"2170758734"</f>
        <v>2170758734</v>
      </c>
      <c r="F3402" s="2" t="s">
        <v>17</v>
      </c>
      <c r="G3402" s="2" t="s">
        <v>18</v>
      </c>
      <c r="H3402" s="2" t="s">
        <v>19</v>
      </c>
      <c r="I3402" s="2" t="s">
        <v>20</v>
      </c>
      <c r="J3402" s="2" t="s">
        <v>1321</v>
      </c>
      <c r="K3402" s="2" t="s">
        <v>2282</v>
      </c>
      <c r="L3402" s="3">
        <v>0.7319444444444444</v>
      </c>
      <c r="M3402" s="2" t="s">
        <v>2319</v>
      </c>
      <c r="N3402" s="2" t="s">
        <v>500</v>
      </c>
      <c r="O3402" s="2"/>
    </row>
    <row r="3403" spans="1:15" x14ac:dyDescent="0.25">
      <c r="A3403" s="2" t="s">
        <v>15</v>
      </c>
      <c r="B3403" s="2" t="str">
        <f>"FES1162771865"</f>
        <v>FES1162771865</v>
      </c>
      <c r="C3403" s="2" t="s">
        <v>2197</v>
      </c>
      <c r="D3403" s="2">
        <v>1</v>
      </c>
      <c r="E3403" s="2" t="str">
        <f>"2170758901"</f>
        <v>2170758901</v>
      </c>
      <c r="F3403" s="2" t="s">
        <v>17</v>
      </c>
      <c r="G3403" s="2" t="s">
        <v>18</v>
      </c>
      <c r="H3403" s="2" t="s">
        <v>36</v>
      </c>
      <c r="I3403" s="2" t="s">
        <v>37</v>
      </c>
      <c r="J3403" s="2" t="s">
        <v>102</v>
      </c>
      <c r="K3403" s="2" t="s">
        <v>2356</v>
      </c>
      <c r="L3403" s="3">
        <v>0.41805555555555557</v>
      </c>
      <c r="M3403" s="2" t="s">
        <v>219</v>
      </c>
      <c r="N3403" s="2" t="s">
        <v>500</v>
      </c>
      <c r="O3403" s="2"/>
    </row>
    <row r="3404" spans="1:15" x14ac:dyDescent="0.25">
      <c r="A3404" s="2" t="s">
        <v>15</v>
      </c>
      <c r="B3404" s="2" t="str">
        <f>"FES1162771868"</f>
        <v>FES1162771868</v>
      </c>
      <c r="C3404" s="2" t="s">
        <v>2197</v>
      </c>
      <c r="D3404" s="2">
        <v>1</v>
      </c>
      <c r="E3404" s="2" t="str">
        <f>"2170758924"</f>
        <v>2170758924</v>
      </c>
      <c r="F3404" s="2" t="s">
        <v>17</v>
      </c>
      <c r="G3404" s="2" t="s">
        <v>18</v>
      </c>
      <c r="H3404" s="2" t="s">
        <v>36</v>
      </c>
      <c r="I3404" s="2" t="s">
        <v>67</v>
      </c>
      <c r="J3404" s="2" t="s">
        <v>146</v>
      </c>
      <c r="K3404" s="2" t="s">
        <v>2282</v>
      </c>
      <c r="L3404" s="3">
        <v>0.38611111111111113</v>
      </c>
      <c r="M3404" s="2" t="s">
        <v>2273</v>
      </c>
      <c r="N3404" s="2" t="s">
        <v>500</v>
      </c>
      <c r="O3404" s="2"/>
    </row>
    <row r="3405" spans="1:15" x14ac:dyDescent="0.25">
      <c r="A3405" s="2" t="s">
        <v>15</v>
      </c>
      <c r="B3405" s="2" t="str">
        <f>"FES1162771866"</f>
        <v>FES1162771866</v>
      </c>
      <c r="C3405" s="2" t="s">
        <v>2197</v>
      </c>
      <c r="D3405" s="2">
        <v>1</v>
      </c>
      <c r="E3405" s="2" t="str">
        <f>"2170758922"</f>
        <v>2170758922</v>
      </c>
      <c r="F3405" s="2" t="s">
        <v>17</v>
      </c>
      <c r="G3405" s="2" t="s">
        <v>18</v>
      </c>
      <c r="H3405" s="2" t="s">
        <v>33</v>
      </c>
      <c r="I3405" s="2" t="s">
        <v>34</v>
      </c>
      <c r="J3405" s="2" t="s">
        <v>2286</v>
      </c>
      <c r="K3405" s="2" t="s">
        <v>2282</v>
      </c>
      <c r="L3405" s="3">
        <v>0.43333333333333335</v>
      </c>
      <c r="M3405" s="2" t="s">
        <v>2320</v>
      </c>
      <c r="N3405" s="2" t="s">
        <v>500</v>
      </c>
      <c r="O3405" s="2"/>
    </row>
    <row r="3406" spans="1:15" x14ac:dyDescent="0.25">
      <c r="A3406" s="2" t="s">
        <v>15</v>
      </c>
      <c r="B3406" s="2" t="str">
        <f>"FES1162771952"</f>
        <v>FES1162771952</v>
      </c>
      <c r="C3406" s="2" t="s">
        <v>2197</v>
      </c>
      <c r="D3406" s="2">
        <v>1</v>
      </c>
      <c r="E3406" s="2" t="str">
        <f>"2170758964"</f>
        <v>2170758964</v>
      </c>
      <c r="F3406" s="2" t="s">
        <v>17</v>
      </c>
      <c r="G3406" s="2" t="s">
        <v>18</v>
      </c>
      <c r="H3406" s="2" t="s">
        <v>25</v>
      </c>
      <c r="I3406" s="2" t="s">
        <v>26</v>
      </c>
      <c r="J3406" s="2" t="s">
        <v>100</v>
      </c>
      <c r="K3406" s="2" t="s">
        <v>2282</v>
      </c>
      <c r="L3406" s="3">
        <v>0.30486111111111108</v>
      </c>
      <c r="M3406" s="2" t="s">
        <v>2264</v>
      </c>
      <c r="N3406" s="2" t="s">
        <v>500</v>
      </c>
      <c r="O3406" s="2"/>
    </row>
    <row r="3407" spans="1:15" x14ac:dyDescent="0.25">
      <c r="A3407" s="2" t="s">
        <v>15</v>
      </c>
      <c r="B3407" s="2" t="str">
        <f>"FES1162771877"</f>
        <v>FES1162771877</v>
      </c>
      <c r="C3407" s="2" t="s">
        <v>2197</v>
      </c>
      <c r="D3407" s="2">
        <v>1</v>
      </c>
      <c r="E3407" s="2" t="str">
        <f>"2170758934"</f>
        <v>2170758934</v>
      </c>
      <c r="F3407" s="2" t="s">
        <v>17</v>
      </c>
      <c r="G3407" s="2" t="s">
        <v>18</v>
      </c>
      <c r="H3407" s="2" t="s">
        <v>18</v>
      </c>
      <c r="I3407" s="2" t="s">
        <v>57</v>
      </c>
      <c r="J3407" s="2" t="s">
        <v>1286</v>
      </c>
      <c r="K3407" s="2" t="s">
        <v>2282</v>
      </c>
      <c r="L3407" s="3">
        <v>0.40277777777777773</v>
      </c>
      <c r="M3407" s="2" t="s">
        <v>2321</v>
      </c>
      <c r="N3407" s="2" t="s">
        <v>500</v>
      </c>
      <c r="O3407" s="2"/>
    </row>
    <row r="3408" spans="1:15" x14ac:dyDescent="0.25">
      <c r="A3408" s="2" t="s">
        <v>15</v>
      </c>
      <c r="B3408" s="2" t="str">
        <f>"FES1162771895"</f>
        <v>FES1162771895</v>
      </c>
      <c r="C3408" s="2" t="s">
        <v>2197</v>
      </c>
      <c r="D3408" s="2">
        <v>1</v>
      </c>
      <c r="E3408" s="2" t="str">
        <f>"2170756775"</f>
        <v>2170756775</v>
      </c>
      <c r="F3408" s="2" t="s">
        <v>17</v>
      </c>
      <c r="G3408" s="2" t="s">
        <v>18</v>
      </c>
      <c r="H3408" s="2" t="s">
        <v>18</v>
      </c>
      <c r="I3408" s="2" t="s">
        <v>57</v>
      </c>
      <c r="J3408" s="2" t="s">
        <v>2287</v>
      </c>
      <c r="K3408" s="2" t="s">
        <v>2282</v>
      </c>
      <c r="L3408" s="3">
        <v>0.41666666666666669</v>
      </c>
      <c r="M3408" s="2" t="s">
        <v>2322</v>
      </c>
      <c r="N3408" s="2" t="s">
        <v>500</v>
      </c>
      <c r="O3408" s="2"/>
    </row>
    <row r="3409" spans="1:15" x14ac:dyDescent="0.25">
      <c r="A3409" s="2" t="s">
        <v>15</v>
      </c>
      <c r="B3409" s="2" t="str">
        <f>"FES1162771919"</f>
        <v>FES1162771919</v>
      </c>
      <c r="C3409" s="2" t="s">
        <v>2197</v>
      </c>
      <c r="D3409" s="2">
        <v>1</v>
      </c>
      <c r="E3409" s="2" t="str">
        <f>"2170758376"</f>
        <v>2170758376</v>
      </c>
      <c r="F3409" s="2" t="s">
        <v>17</v>
      </c>
      <c r="G3409" s="2" t="s">
        <v>18</v>
      </c>
      <c r="H3409" s="2" t="s">
        <v>18</v>
      </c>
      <c r="I3409" s="2" t="s">
        <v>57</v>
      </c>
      <c r="J3409" s="2" t="s">
        <v>903</v>
      </c>
      <c r="K3409" s="2" t="s">
        <v>2282</v>
      </c>
      <c r="L3409" s="3">
        <v>0.41666666666666669</v>
      </c>
      <c r="M3409" s="2" t="s">
        <v>1842</v>
      </c>
      <c r="N3409" s="2" t="s">
        <v>500</v>
      </c>
      <c r="O3409" s="2"/>
    </row>
    <row r="3410" spans="1:15" x14ac:dyDescent="0.25">
      <c r="A3410" s="2" t="s">
        <v>15</v>
      </c>
      <c r="B3410" s="2" t="str">
        <f>"FES1162771911"</f>
        <v>FES1162771911</v>
      </c>
      <c r="C3410" s="2" t="s">
        <v>2197</v>
      </c>
      <c r="D3410" s="2">
        <v>1</v>
      </c>
      <c r="E3410" s="2" t="str">
        <f>"2170757877"</f>
        <v>2170757877</v>
      </c>
      <c r="F3410" s="2" t="s">
        <v>17</v>
      </c>
      <c r="G3410" s="2" t="s">
        <v>18</v>
      </c>
      <c r="H3410" s="2" t="s">
        <v>18</v>
      </c>
      <c r="I3410" s="2" t="s">
        <v>46</v>
      </c>
      <c r="J3410" s="2" t="s">
        <v>915</v>
      </c>
      <c r="K3410" s="2" t="s">
        <v>2282</v>
      </c>
      <c r="L3410" s="3">
        <v>0.30277777777777776</v>
      </c>
      <c r="M3410" s="2" t="s">
        <v>1343</v>
      </c>
      <c r="N3410" s="2" t="s">
        <v>500</v>
      </c>
      <c r="O3410" s="2"/>
    </row>
    <row r="3411" spans="1:15" x14ac:dyDescent="0.25">
      <c r="A3411" s="2" t="s">
        <v>15</v>
      </c>
      <c r="B3411" s="2" t="str">
        <f>"FES1162771937"</f>
        <v>FES1162771937</v>
      </c>
      <c r="C3411" s="2" t="s">
        <v>2197</v>
      </c>
      <c r="D3411" s="2">
        <v>1</v>
      </c>
      <c r="E3411" s="2" t="str">
        <f>"2170758946"</f>
        <v>2170758946</v>
      </c>
      <c r="F3411" s="2" t="s">
        <v>17</v>
      </c>
      <c r="G3411" s="2" t="s">
        <v>18</v>
      </c>
      <c r="H3411" s="2" t="s">
        <v>25</v>
      </c>
      <c r="I3411" s="2" t="s">
        <v>26</v>
      </c>
      <c r="J3411" s="2" t="s">
        <v>761</v>
      </c>
      <c r="K3411" s="2" t="s">
        <v>2282</v>
      </c>
      <c r="L3411" s="3">
        <v>0.4055555555555555</v>
      </c>
      <c r="M3411" s="2" t="s">
        <v>2323</v>
      </c>
      <c r="N3411" s="2" t="s">
        <v>500</v>
      </c>
      <c r="O3411" s="2"/>
    </row>
    <row r="3412" spans="1:15" x14ac:dyDescent="0.25">
      <c r="A3412" s="2" t="s">
        <v>15</v>
      </c>
      <c r="B3412" s="2" t="str">
        <f>"FES1162771905"</f>
        <v>FES1162771905</v>
      </c>
      <c r="C3412" s="2" t="s">
        <v>2197</v>
      </c>
      <c r="D3412" s="2">
        <v>1</v>
      </c>
      <c r="E3412" s="2" t="str">
        <f>"2170757423"</f>
        <v>2170757423</v>
      </c>
      <c r="F3412" s="2" t="s">
        <v>17</v>
      </c>
      <c r="G3412" s="2" t="s">
        <v>18</v>
      </c>
      <c r="H3412" s="2" t="s">
        <v>25</v>
      </c>
      <c r="I3412" s="2" t="s">
        <v>26</v>
      </c>
      <c r="J3412" s="2" t="s">
        <v>27</v>
      </c>
      <c r="K3412" s="2" t="s">
        <v>2282</v>
      </c>
      <c r="L3412" s="3">
        <v>0.39374999999999999</v>
      </c>
      <c r="M3412" s="2" t="s">
        <v>521</v>
      </c>
      <c r="N3412" s="2" t="s">
        <v>500</v>
      </c>
      <c r="O3412" s="2"/>
    </row>
    <row r="3413" spans="1:15" x14ac:dyDescent="0.25">
      <c r="A3413" s="2" t="s">
        <v>15</v>
      </c>
      <c r="B3413" s="2" t="str">
        <f>"FES1162771881"</f>
        <v>FES1162771881</v>
      </c>
      <c r="C3413" s="2" t="s">
        <v>2197</v>
      </c>
      <c r="D3413" s="2">
        <v>1</v>
      </c>
      <c r="E3413" s="2" t="str">
        <f>"2170753395"</f>
        <v>2170753395</v>
      </c>
      <c r="F3413" s="2" t="s">
        <v>17</v>
      </c>
      <c r="G3413" s="2" t="s">
        <v>18</v>
      </c>
      <c r="H3413" s="2" t="s">
        <v>25</v>
      </c>
      <c r="I3413" s="2" t="s">
        <v>26</v>
      </c>
      <c r="J3413" s="2" t="s">
        <v>422</v>
      </c>
      <c r="K3413" s="2" t="s">
        <v>2282</v>
      </c>
      <c r="L3413" s="3">
        <v>0.34652777777777777</v>
      </c>
      <c r="M3413" s="2" t="s">
        <v>2180</v>
      </c>
      <c r="N3413" s="2" t="s">
        <v>500</v>
      </c>
      <c r="O3413" s="2"/>
    </row>
    <row r="3414" spans="1:15" x14ac:dyDescent="0.25">
      <c r="A3414" s="2" t="s">
        <v>15</v>
      </c>
      <c r="B3414" s="2" t="str">
        <f>"FES1162771907"</f>
        <v>FES1162771907</v>
      </c>
      <c r="C3414" s="2" t="s">
        <v>2197</v>
      </c>
      <c r="D3414" s="2">
        <v>1</v>
      </c>
      <c r="E3414" s="2" t="str">
        <f>"2170757479"</f>
        <v>2170757479</v>
      </c>
      <c r="F3414" s="2" t="s">
        <v>17</v>
      </c>
      <c r="G3414" s="2" t="s">
        <v>18</v>
      </c>
      <c r="H3414" s="2" t="s">
        <v>88</v>
      </c>
      <c r="I3414" s="2" t="s">
        <v>612</v>
      </c>
      <c r="J3414" s="2" t="s">
        <v>1126</v>
      </c>
      <c r="K3414" s="2" t="s">
        <v>2282</v>
      </c>
      <c r="L3414" s="3">
        <v>0.61111111111111105</v>
      </c>
      <c r="M3414" s="2" t="s">
        <v>220</v>
      </c>
      <c r="N3414" s="2" t="s">
        <v>500</v>
      </c>
      <c r="O3414" s="2"/>
    </row>
    <row r="3415" spans="1:15" x14ac:dyDescent="0.25">
      <c r="A3415" s="2" t="s">
        <v>15</v>
      </c>
      <c r="B3415" s="2" t="str">
        <f>"FES1162771922"</f>
        <v>FES1162771922</v>
      </c>
      <c r="C3415" s="2" t="s">
        <v>2197</v>
      </c>
      <c r="D3415" s="2">
        <v>1</v>
      </c>
      <c r="E3415" s="2" t="str">
        <f>"2170758593"</f>
        <v>2170758593</v>
      </c>
      <c r="F3415" s="2" t="s">
        <v>17</v>
      </c>
      <c r="G3415" s="2" t="s">
        <v>18</v>
      </c>
      <c r="H3415" s="2" t="s">
        <v>25</v>
      </c>
      <c r="I3415" s="2" t="s">
        <v>26</v>
      </c>
      <c r="J3415" s="2" t="s">
        <v>2288</v>
      </c>
      <c r="K3415" s="2" t="s">
        <v>2282</v>
      </c>
      <c r="L3415" s="3">
        <v>0.41666666666666669</v>
      </c>
      <c r="M3415" s="2" t="s">
        <v>2324</v>
      </c>
      <c r="N3415" s="2" t="s">
        <v>500</v>
      </c>
      <c r="O3415" s="2"/>
    </row>
    <row r="3416" spans="1:15" x14ac:dyDescent="0.25">
      <c r="A3416" s="2" t="s">
        <v>15</v>
      </c>
      <c r="B3416" s="2" t="str">
        <f>"FES1162771889"</f>
        <v>FES1162771889</v>
      </c>
      <c r="C3416" s="2" t="s">
        <v>2197</v>
      </c>
      <c r="D3416" s="2">
        <v>1</v>
      </c>
      <c r="E3416" s="2" t="str">
        <f>"2170755969"</f>
        <v>2170755969</v>
      </c>
      <c r="F3416" s="2" t="s">
        <v>17</v>
      </c>
      <c r="G3416" s="2" t="s">
        <v>18</v>
      </c>
      <c r="H3416" s="2" t="s">
        <v>25</v>
      </c>
      <c r="I3416" s="2" t="s">
        <v>26</v>
      </c>
      <c r="J3416" s="2" t="s">
        <v>422</v>
      </c>
      <c r="K3416" s="2" t="s">
        <v>2282</v>
      </c>
      <c r="L3416" s="3">
        <v>0.34652777777777777</v>
      </c>
      <c r="M3416" s="2" t="s">
        <v>2180</v>
      </c>
      <c r="N3416" s="2" t="s">
        <v>500</v>
      </c>
      <c r="O3416" s="2"/>
    </row>
    <row r="3417" spans="1:15" x14ac:dyDescent="0.25">
      <c r="A3417" s="2" t="s">
        <v>15</v>
      </c>
      <c r="B3417" s="2" t="str">
        <f>"FES1162771910"</f>
        <v>FES1162771910</v>
      </c>
      <c r="C3417" s="2" t="s">
        <v>2197</v>
      </c>
      <c r="D3417" s="2">
        <v>1</v>
      </c>
      <c r="E3417" s="2" t="str">
        <f>"2170757659"</f>
        <v>2170757659</v>
      </c>
      <c r="F3417" s="2" t="s">
        <v>17</v>
      </c>
      <c r="G3417" s="2" t="s">
        <v>18</v>
      </c>
      <c r="H3417" s="2" t="s">
        <v>363</v>
      </c>
      <c r="I3417" s="2" t="s">
        <v>1439</v>
      </c>
      <c r="J3417" s="2" t="s">
        <v>1440</v>
      </c>
      <c r="K3417" s="2" t="s">
        <v>2282</v>
      </c>
      <c r="L3417" s="3">
        <v>0.39583333333333331</v>
      </c>
      <c r="M3417" s="2" t="s">
        <v>2442</v>
      </c>
      <c r="N3417" s="2" t="s">
        <v>500</v>
      </c>
      <c r="O3417" s="2"/>
    </row>
    <row r="3418" spans="1:15" x14ac:dyDescent="0.25">
      <c r="A3418" s="2" t="s">
        <v>15</v>
      </c>
      <c r="B3418" s="2" t="str">
        <f>"FES1162771940"</f>
        <v>FES1162771940</v>
      </c>
      <c r="C3418" s="2" t="s">
        <v>2197</v>
      </c>
      <c r="D3418" s="2">
        <v>1</v>
      </c>
      <c r="E3418" s="2" t="str">
        <f>"2170758951"</f>
        <v>2170758951</v>
      </c>
      <c r="F3418" s="2" t="s">
        <v>17</v>
      </c>
      <c r="G3418" s="2" t="s">
        <v>18</v>
      </c>
      <c r="H3418" s="2" t="s">
        <v>18</v>
      </c>
      <c r="I3418" s="2" t="s">
        <v>97</v>
      </c>
      <c r="J3418" s="2" t="s">
        <v>2289</v>
      </c>
      <c r="K3418" s="2" t="s">
        <v>2282</v>
      </c>
      <c r="L3418" s="3">
        <v>0.41666666666666669</v>
      </c>
      <c r="M3418" s="2" t="s">
        <v>372</v>
      </c>
      <c r="N3418" s="2" t="s">
        <v>500</v>
      </c>
      <c r="O3418" s="2"/>
    </row>
    <row r="3419" spans="1:15" x14ac:dyDescent="0.25">
      <c r="A3419" s="2" t="s">
        <v>15</v>
      </c>
      <c r="B3419" s="2" t="str">
        <f>"FES1162771933"</f>
        <v>FES1162771933</v>
      </c>
      <c r="C3419" s="2" t="s">
        <v>2197</v>
      </c>
      <c r="D3419" s="2">
        <v>1</v>
      </c>
      <c r="E3419" s="2" t="str">
        <f>"2170758920"</f>
        <v>2170758920</v>
      </c>
      <c r="F3419" s="2" t="s">
        <v>17</v>
      </c>
      <c r="G3419" s="2" t="s">
        <v>18</v>
      </c>
      <c r="H3419" s="2" t="s">
        <v>25</v>
      </c>
      <c r="I3419" s="2" t="s">
        <v>26</v>
      </c>
      <c r="J3419" s="2" t="s">
        <v>654</v>
      </c>
      <c r="K3419" s="2" t="s">
        <v>2282</v>
      </c>
      <c r="L3419" s="3">
        <v>0.42986111111111108</v>
      </c>
      <c r="M3419" s="2" t="s">
        <v>725</v>
      </c>
      <c r="N3419" s="2" t="s">
        <v>500</v>
      </c>
      <c r="O3419" s="2"/>
    </row>
    <row r="3420" spans="1:15" x14ac:dyDescent="0.25">
      <c r="A3420" s="2" t="s">
        <v>15</v>
      </c>
      <c r="B3420" s="2" t="str">
        <f>"FES1162771908"</f>
        <v>FES1162771908</v>
      </c>
      <c r="C3420" s="2" t="s">
        <v>2197</v>
      </c>
      <c r="D3420" s="2">
        <v>1</v>
      </c>
      <c r="E3420" s="2" t="str">
        <f>"2170757483"</f>
        <v>2170757483</v>
      </c>
      <c r="F3420" s="2" t="s">
        <v>17</v>
      </c>
      <c r="G3420" s="2" t="s">
        <v>18</v>
      </c>
      <c r="H3420" s="2" t="s">
        <v>88</v>
      </c>
      <c r="I3420" s="2" t="s">
        <v>612</v>
      </c>
      <c r="J3420" s="2" t="s">
        <v>1126</v>
      </c>
      <c r="K3420" s="2" t="s">
        <v>2282</v>
      </c>
      <c r="L3420" s="3">
        <v>0.61111111111111105</v>
      </c>
      <c r="M3420" s="2" t="s">
        <v>941</v>
      </c>
      <c r="N3420" s="2" t="s">
        <v>500</v>
      </c>
      <c r="O3420" s="2"/>
    </row>
    <row r="3421" spans="1:15" x14ac:dyDescent="0.25">
      <c r="A3421" s="2" t="s">
        <v>15</v>
      </c>
      <c r="B3421" s="2" t="str">
        <f>"FES1162771921"</f>
        <v>FES1162771921</v>
      </c>
      <c r="C3421" s="2" t="s">
        <v>2197</v>
      </c>
      <c r="D3421" s="2">
        <v>1</v>
      </c>
      <c r="E3421" s="2" t="str">
        <f>"2170758472"</f>
        <v>2170758472</v>
      </c>
      <c r="F3421" s="2" t="s">
        <v>17</v>
      </c>
      <c r="G3421" s="2" t="s">
        <v>18</v>
      </c>
      <c r="H3421" s="2" t="s">
        <v>18</v>
      </c>
      <c r="I3421" s="2" t="s">
        <v>50</v>
      </c>
      <c r="J3421" s="2" t="s">
        <v>51</v>
      </c>
      <c r="K3421" s="2" t="s">
        <v>2282</v>
      </c>
      <c r="L3421" s="3">
        <v>0.41666666666666669</v>
      </c>
      <c r="M3421" s="2" t="s">
        <v>2325</v>
      </c>
      <c r="N3421" s="2" t="s">
        <v>500</v>
      </c>
      <c r="O3421" s="2"/>
    </row>
    <row r="3422" spans="1:15" x14ac:dyDescent="0.25">
      <c r="A3422" s="2" t="s">
        <v>15</v>
      </c>
      <c r="B3422" s="2" t="str">
        <f>"FES1162771915"</f>
        <v>FES1162771915</v>
      </c>
      <c r="C3422" s="2" t="s">
        <v>2197</v>
      </c>
      <c r="D3422" s="2">
        <v>1</v>
      </c>
      <c r="E3422" s="2" t="str">
        <f>"2170758286"</f>
        <v>2170758286</v>
      </c>
      <c r="F3422" s="2" t="s">
        <v>17</v>
      </c>
      <c r="G3422" s="2" t="s">
        <v>18</v>
      </c>
      <c r="H3422" s="2" t="s">
        <v>25</v>
      </c>
      <c r="I3422" s="2" t="s">
        <v>39</v>
      </c>
      <c r="J3422" s="2" t="s">
        <v>40</v>
      </c>
      <c r="K3422" s="2" t="s">
        <v>2282</v>
      </c>
      <c r="L3422" s="3">
        <v>0.57916666666666672</v>
      </c>
      <c r="M3422" s="2" t="s">
        <v>178</v>
      </c>
      <c r="N3422" s="2" t="s">
        <v>500</v>
      </c>
      <c r="O3422" s="2"/>
    </row>
    <row r="3423" spans="1:15" x14ac:dyDescent="0.25">
      <c r="A3423" s="2" t="s">
        <v>15</v>
      </c>
      <c r="B3423" s="2" t="str">
        <f>"FES1162771948"</f>
        <v>FES1162771948</v>
      </c>
      <c r="C3423" s="2" t="s">
        <v>2197</v>
      </c>
      <c r="D3423" s="2">
        <v>1</v>
      </c>
      <c r="E3423" s="2" t="str">
        <f>"2170758935"</f>
        <v>2170758935</v>
      </c>
      <c r="F3423" s="2" t="s">
        <v>17</v>
      </c>
      <c r="G3423" s="2" t="s">
        <v>18</v>
      </c>
      <c r="H3423" s="2" t="s">
        <v>18</v>
      </c>
      <c r="I3423" s="2" t="s">
        <v>46</v>
      </c>
      <c r="J3423" s="2" t="s">
        <v>436</v>
      </c>
      <c r="K3423" s="2" t="s">
        <v>2282</v>
      </c>
      <c r="L3423" s="3">
        <v>0.32083333333333336</v>
      </c>
      <c r="M3423" s="2" t="s">
        <v>542</v>
      </c>
      <c r="N3423" s="2" t="s">
        <v>500</v>
      </c>
      <c r="O3423" s="2"/>
    </row>
    <row r="3424" spans="1:15" x14ac:dyDescent="0.25">
      <c r="A3424" s="2" t="s">
        <v>15</v>
      </c>
      <c r="B3424" s="2" t="str">
        <f>"FES1162771932"</f>
        <v>FES1162771932</v>
      </c>
      <c r="C3424" s="2" t="s">
        <v>2197</v>
      </c>
      <c r="D3424" s="2">
        <v>1</v>
      </c>
      <c r="E3424" s="2" t="str">
        <f>"2170758917"</f>
        <v>2170758917</v>
      </c>
      <c r="F3424" s="2" t="s">
        <v>17</v>
      </c>
      <c r="G3424" s="2" t="s">
        <v>18</v>
      </c>
      <c r="H3424" s="2" t="s">
        <v>18</v>
      </c>
      <c r="I3424" s="2" t="s">
        <v>57</v>
      </c>
      <c r="J3424" s="2" t="s">
        <v>2290</v>
      </c>
      <c r="K3424" s="2" t="s">
        <v>2282</v>
      </c>
      <c r="L3424" s="3">
        <v>0.43055555555555558</v>
      </c>
      <c r="M3424" s="2" t="s">
        <v>2326</v>
      </c>
      <c r="N3424" s="2" t="s">
        <v>500</v>
      </c>
      <c r="O3424" s="2"/>
    </row>
    <row r="3425" spans="1:15" x14ac:dyDescent="0.25">
      <c r="A3425" s="2" t="s">
        <v>15</v>
      </c>
      <c r="B3425" s="2" t="str">
        <f>"FES1162771883"</f>
        <v>FES1162771883</v>
      </c>
      <c r="C3425" s="2" t="s">
        <v>2197</v>
      </c>
      <c r="D3425" s="2">
        <v>1</v>
      </c>
      <c r="E3425" s="2" t="str">
        <f>"2170753937"</f>
        <v>2170753937</v>
      </c>
      <c r="F3425" s="2" t="s">
        <v>17</v>
      </c>
      <c r="G3425" s="2" t="s">
        <v>18</v>
      </c>
      <c r="H3425" s="2" t="s">
        <v>36</v>
      </c>
      <c r="I3425" s="2" t="s">
        <v>37</v>
      </c>
      <c r="J3425" s="2" t="s">
        <v>162</v>
      </c>
      <c r="K3425" s="2" t="s">
        <v>2282</v>
      </c>
      <c r="L3425" s="3">
        <v>0.39861111111111108</v>
      </c>
      <c r="M3425" s="2" t="s">
        <v>2327</v>
      </c>
      <c r="N3425" s="2" t="s">
        <v>500</v>
      </c>
      <c r="O3425" s="2"/>
    </row>
    <row r="3426" spans="1:15" x14ac:dyDescent="0.25">
      <c r="A3426" s="2" t="s">
        <v>15</v>
      </c>
      <c r="B3426" s="2" t="str">
        <f>"FES1162771885"</f>
        <v>FES1162771885</v>
      </c>
      <c r="C3426" s="2" t="s">
        <v>2197</v>
      </c>
      <c r="D3426" s="2">
        <v>1</v>
      </c>
      <c r="E3426" s="2" t="str">
        <f>"2170754395"</f>
        <v>2170754395</v>
      </c>
      <c r="F3426" s="2" t="s">
        <v>17</v>
      </c>
      <c r="G3426" s="2" t="s">
        <v>18</v>
      </c>
      <c r="H3426" s="2" t="s">
        <v>36</v>
      </c>
      <c r="I3426" s="2" t="s">
        <v>37</v>
      </c>
      <c r="J3426" s="2" t="s">
        <v>162</v>
      </c>
      <c r="K3426" s="2" t="s">
        <v>2282</v>
      </c>
      <c r="L3426" s="3">
        <v>0.39861111111111108</v>
      </c>
      <c r="M3426" s="2" t="s">
        <v>2327</v>
      </c>
      <c r="N3426" s="2" t="s">
        <v>500</v>
      </c>
      <c r="O3426" s="2"/>
    </row>
    <row r="3427" spans="1:15" x14ac:dyDescent="0.25">
      <c r="A3427" s="2" t="s">
        <v>15</v>
      </c>
      <c r="B3427" s="2" t="str">
        <f>"FES1162771892"</f>
        <v>FES1162771892</v>
      </c>
      <c r="C3427" s="2" t="s">
        <v>2197</v>
      </c>
      <c r="D3427" s="2">
        <v>1</v>
      </c>
      <c r="E3427" s="2" t="str">
        <f>"2170756657"</f>
        <v>2170756657</v>
      </c>
      <c r="F3427" s="2" t="s">
        <v>17</v>
      </c>
      <c r="G3427" s="2" t="s">
        <v>18</v>
      </c>
      <c r="H3427" s="2" t="s">
        <v>25</v>
      </c>
      <c r="I3427" s="2" t="s">
        <v>26</v>
      </c>
      <c r="J3427" s="2" t="s">
        <v>27</v>
      </c>
      <c r="K3427" s="2" t="s">
        <v>2282</v>
      </c>
      <c r="L3427" s="3">
        <v>0.39305555555555555</v>
      </c>
      <c r="M3427" s="2" t="s">
        <v>521</v>
      </c>
      <c r="N3427" s="2" t="s">
        <v>500</v>
      </c>
      <c r="O3427" s="2"/>
    </row>
    <row r="3428" spans="1:15" x14ac:dyDescent="0.25">
      <c r="A3428" s="2" t="s">
        <v>15</v>
      </c>
      <c r="B3428" s="2" t="str">
        <f>"FES1162771913"</f>
        <v>FES1162771913</v>
      </c>
      <c r="C3428" s="2" t="s">
        <v>2197</v>
      </c>
      <c r="D3428" s="2">
        <v>1</v>
      </c>
      <c r="E3428" s="2" t="str">
        <f>"2170757915"</f>
        <v>2170757915</v>
      </c>
      <c r="F3428" s="2" t="s">
        <v>17</v>
      </c>
      <c r="G3428" s="2" t="s">
        <v>18</v>
      </c>
      <c r="H3428" s="2" t="s">
        <v>18</v>
      </c>
      <c r="I3428" s="2" t="s">
        <v>46</v>
      </c>
      <c r="J3428" s="2" t="s">
        <v>436</v>
      </c>
      <c r="K3428" s="2" t="s">
        <v>2356</v>
      </c>
      <c r="L3428" s="3">
        <v>0.34027777777777773</v>
      </c>
      <c r="M3428" s="2" t="s">
        <v>542</v>
      </c>
      <c r="N3428" s="2" t="s">
        <v>500</v>
      </c>
      <c r="O3428" s="2"/>
    </row>
    <row r="3429" spans="1:15" x14ac:dyDescent="0.25">
      <c r="A3429" s="2" t="s">
        <v>15</v>
      </c>
      <c r="B3429" s="2" t="str">
        <f>"FES1162771967"</f>
        <v>FES1162771967</v>
      </c>
      <c r="C3429" s="2" t="s">
        <v>2197</v>
      </c>
      <c r="D3429" s="2">
        <v>1</v>
      </c>
      <c r="E3429" s="2" t="str">
        <f>"2170758973"</f>
        <v>2170758973</v>
      </c>
      <c r="F3429" s="2" t="s">
        <v>17</v>
      </c>
      <c r="G3429" s="2" t="s">
        <v>18</v>
      </c>
      <c r="H3429" s="2" t="s">
        <v>88</v>
      </c>
      <c r="I3429" s="2" t="s">
        <v>109</v>
      </c>
      <c r="J3429" s="2" t="s">
        <v>2291</v>
      </c>
      <c r="K3429" s="2" t="s">
        <v>2282</v>
      </c>
      <c r="L3429" s="3">
        <v>0.50069444444444444</v>
      </c>
      <c r="M3429" s="2" t="s">
        <v>2328</v>
      </c>
      <c r="N3429" s="2" t="s">
        <v>500</v>
      </c>
      <c r="O3429" s="2"/>
    </row>
    <row r="3430" spans="1:15" x14ac:dyDescent="0.25">
      <c r="A3430" s="2" t="s">
        <v>15</v>
      </c>
      <c r="B3430" s="2" t="str">
        <f>"FES1162771965"</f>
        <v>FES1162771965</v>
      </c>
      <c r="C3430" s="2" t="s">
        <v>2197</v>
      </c>
      <c r="D3430" s="2">
        <v>1</v>
      </c>
      <c r="E3430" s="2" t="str">
        <f>"2170758627"</f>
        <v>2170758627</v>
      </c>
      <c r="F3430" s="2" t="s">
        <v>17</v>
      </c>
      <c r="G3430" s="2" t="s">
        <v>18</v>
      </c>
      <c r="H3430" s="2" t="s">
        <v>18</v>
      </c>
      <c r="I3430" s="2" t="s">
        <v>46</v>
      </c>
      <c r="J3430" s="2" t="s">
        <v>139</v>
      </c>
      <c r="K3430" s="2" t="s">
        <v>2282</v>
      </c>
      <c r="L3430" s="3">
        <v>0.2951388888888889</v>
      </c>
      <c r="M3430" s="2" t="s">
        <v>838</v>
      </c>
      <c r="N3430" s="2" t="s">
        <v>500</v>
      </c>
      <c r="O3430" s="2"/>
    </row>
    <row r="3431" spans="1:15" x14ac:dyDescent="0.25">
      <c r="A3431" s="2" t="s">
        <v>15</v>
      </c>
      <c r="B3431" s="2" t="str">
        <f>"FES1162771891"</f>
        <v>FES1162771891</v>
      </c>
      <c r="C3431" s="2" t="s">
        <v>2197</v>
      </c>
      <c r="D3431" s="2">
        <v>1</v>
      </c>
      <c r="E3431" s="2" t="str">
        <f>"2170756611"</f>
        <v>2170756611</v>
      </c>
      <c r="F3431" s="2" t="s">
        <v>17</v>
      </c>
      <c r="G3431" s="2" t="s">
        <v>18</v>
      </c>
      <c r="H3431" s="2" t="s">
        <v>88</v>
      </c>
      <c r="I3431" s="2" t="s">
        <v>109</v>
      </c>
      <c r="J3431" s="2" t="s">
        <v>1684</v>
      </c>
      <c r="K3431" s="2" t="s">
        <v>2282</v>
      </c>
      <c r="L3431" s="3">
        <v>0.43402777777777773</v>
      </c>
      <c r="M3431" s="2" t="s">
        <v>1976</v>
      </c>
      <c r="N3431" s="2" t="s">
        <v>500</v>
      </c>
      <c r="O3431" s="2"/>
    </row>
    <row r="3432" spans="1:15" x14ac:dyDescent="0.25">
      <c r="A3432" s="2" t="s">
        <v>15</v>
      </c>
      <c r="B3432" s="2" t="str">
        <f>"FES1162771884"</f>
        <v>FES1162771884</v>
      </c>
      <c r="C3432" s="2" t="s">
        <v>2197</v>
      </c>
      <c r="D3432" s="2">
        <v>1</v>
      </c>
      <c r="E3432" s="2" t="str">
        <f>"2170754172"</f>
        <v>2170754172</v>
      </c>
      <c r="F3432" s="2" t="s">
        <v>17</v>
      </c>
      <c r="G3432" s="2" t="s">
        <v>18</v>
      </c>
      <c r="H3432" s="2" t="s">
        <v>19</v>
      </c>
      <c r="I3432" s="2" t="s">
        <v>20</v>
      </c>
      <c r="J3432" s="2" t="s">
        <v>106</v>
      </c>
      <c r="K3432" s="2" t="s">
        <v>2282</v>
      </c>
      <c r="L3432" s="3">
        <v>0.36041666666666666</v>
      </c>
      <c r="M3432" s="2" t="s">
        <v>472</v>
      </c>
      <c r="N3432" s="2" t="s">
        <v>500</v>
      </c>
      <c r="O3432" s="2"/>
    </row>
    <row r="3433" spans="1:15" x14ac:dyDescent="0.25">
      <c r="A3433" s="2" t="s">
        <v>15</v>
      </c>
      <c r="B3433" s="2" t="str">
        <f>"FES1162771914"</f>
        <v>FES1162771914</v>
      </c>
      <c r="C3433" s="2" t="s">
        <v>2197</v>
      </c>
      <c r="D3433" s="2">
        <v>1</v>
      </c>
      <c r="E3433" s="2" t="str">
        <f>"2170758097"</f>
        <v>2170758097</v>
      </c>
      <c r="F3433" s="2" t="s">
        <v>17</v>
      </c>
      <c r="G3433" s="2" t="s">
        <v>18</v>
      </c>
      <c r="H3433" s="2" t="s">
        <v>88</v>
      </c>
      <c r="I3433" s="2" t="s">
        <v>612</v>
      </c>
      <c r="J3433" s="2" t="s">
        <v>1126</v>
      </c>
      <c r="K3433" s="2" t="s">
        <v>2282</v>
      </c>
      <c r="L3433" s="3">
        <v>0.61111111111111105</v>
      </c>
      <c r="M3433" s="2" t="s">
        <v>941</v>
      </c>
      <c r="N3433" s="2" t="s">
        <v>500</v>
      </c>
      <c r="O3433" s="2"/>
    </row>
    <row r="3434" spans="1:15" x14ac:dyDescent="0.25">
      <c r="A3434" s="2" t="s">
        <v>15</v>
      </c>
      <c r="B3434" s="2" t="str">
        <f>"FES1162771903"</f>
        <v>FES1162771903</v>
      </c>
      <c r="C3434" s="2" t="s">
        <v>2197</v>
      </c>
      <c r="D3434" s="2">
        <v>1</v>
      </c>
      <c r="E3434" s="2" t="str">
        <f>"2170757265"</f>
        <v>2170757265</v>
      </c>
      <c r="F3434" s="2" t="s">
        <v>2443</v>
      </c>
      <c r="G3434" s="2" t="s">
        <v>206</v>
      </c>
      <c r="H3434" s="2" t="s">
        <v>88</v>
      </c>
      <c r="I3434" s="2" t="s">
        <v>109</v>
      </c>
      <c r="J3434" s="2" t="s">
        <v>66</v>
      </c>
      <c r="K3434" s="2" t="s">
        <v>2282</v>
      </c>
      <c r="L3434" s="3">
        <v>0.45694444444444443</v>
      </c>
      <c r="M3434" s="2" t="s">
        <v>969</v>
      </c>
      <c r="N3434" s="2" t="s">
        <v>500</v>
      </c>
      <c r="O3434" s="2"/>
    </row>
    <row r="3435" spans="1:15" x14ac:dyDescent="0.25">
      <c r="A3435" s="2" t="s">
        <v>15</v>
      </c>
      <c r="B3435" s="2" t="str">
        <f>"FES1162771901"</f>
        <v>FES1162771901</v>
      </c>
      <c r="C3435" s="2" t="s">
        <v>2197</v>
      </c>
      <c r="D3435" s="2">
        <v>1</v>
      </c>
      <c r="E3435" s="2" t="str">
        <f>"2170757161"</f>
        <v>2170757161</v>
      </c>
      <c r="F3435" s="2" t="s">
        <v>17</v>
      </c>
      <c r="G3435" s="2" t="s">
        <v>18</v>
      </c>
      <c r="H3435" s="2" t="s">
        <v>18</v>
      </c>
      <c r="I3435" s="2" t="s">
        <v>105</v>
      </c>
      <c r="J3435" s="2" t="s">
        <v>1430</v>
      </c>
      <c r="K3435" s="2" t="s">
        <v>2282</v>
      </c>
      <c r="L3435" s="3">
        <v>0.4375</v>
      </c>
      <c r="M3435" s="2" t="s">
        <v>2329</v>
      </c>
      <c r="N3435" s="2" t="s">
        <v>500</v>
      </c>
      <c r="O3435" s="2"/>
    </row>
    <row r="3436" spans="1:15" x14ac:dyDescent="0.25">
      <c r="A3436" s="2" t="s">
        <v>15</v>
      </c>
      <c r="B3436" s="2" t="str">
        <f>"FES1162771917"</f>
        <v>FES1162771917</v>
      </c>
      <c r="C3436" s="2" t="s">
        <v>2197</v>
      </c>
      <c r="D3436" s="2">
        <v>1</v>
      </c>
      <c r="E3436" s="2" t="str">
        <f>"2170758348"</f>
        <v>2170758348</v>
      </c>
      <c r="F3436" s="2" t="s">
        <v>17</v>
      </c>
      <c r="G3436" s="2" t="s">
        <v>18</v>
      </c>
      <c r="H3436" s="2" t="s">
        <v>19</v>
      </c>
      <c r="I3436" s="2" t="s">
        <v>20</v>
      </c>
      <c r="J3436" s="2" t="s">
        <v>447</v>
      </c>
      <c r="K3436" s="2" t="s">
        <v>2282</v>
      </c>
      <c r="L3436" s="3">
        <v>0.52152777777777781</v>
      </c>
      <c r="M3436" s="2" t="s">
        <v>2330</v>
      </c>
      <c r="N3436" s="2" t="s">
        <v>500</v>
      </c>
      <c r="O3436" s="2"/>
    </row>
    <row r="3437" spans="1:15" x14ac:dyDescent="0.25">
      <c r="A3437" s="2" t="s">
        <v>15</v>
      </c>
      <c r="B3437" s="2" t="str">
        <f>"FES1162771887"</f>
        <v>FES1162771887</v>
      </c>
      <c r="C3437" s="2" t="s">
        <v>2197</v>
      </c>
      <c r="D3437" s="2">
        <v>1</v>
      </c>
      <c r="E3437" s="2" t="str">
        <f>"2170754978"</f>
        <v>2170754978</v>
      </c>
      <c r="F3437" s="2" t="s">
        <v>17</v>
      </c>
      <c r="G3437" s="2" t="s">
        <v>18</v>
      </c>
      <c r="H3437" s="2" t="s">
        <v>88</v>
      </c>
      <c r="I3437" s="2" t="s">
        <v>89</v>
      </c>
      <c r="J3437" s="2" t="s">
        <v>869</v>
      </c>
      <c r="K3437" s="2" t="s">
        <v>2282</v>
      </c>
      <c r="L3437" s="3">
        <v>0.46319444444444446</v>
      </c>
      <c r="M3437" s="2" t="s">
        <v>1389</v>
      </c>
      <c r="N3437" s="2" t="s">
        <v>500</v>
      </c>
      <c r="O3437" s="2"/>
    </row>
    <row r="3438" spans="1:15" x14ac:dyDescent="0.25">
      <c r="A3438" s="2" t="s">
        <v>15</v>
      </c>
      <c r="B3438" s="2" t="str">
        <f>"FES1162771899"</f>
        <v>FES1162771899</v>
      </c>
      <c r="C3438" s="2" t="s">
        <v>2197</v>
      </c>
      <c r="D3438" s="2">
        <v>1</v>
      </c>
      <c r="E3438" s="2" t="str">
        <f>"2170756995"</f>
        <v>2170756995</v>
      </c>
      <c r="F3438" s="2" t="s">
        <v>17</v>
      </c>
      <c r="G3438" s="2" t="s">
        <v>18</v>
      </c>
      <c r="H3438" s="2" t="s">
        <v>18</v>
      </c>
      <c r="I3438" s="2" t="s">
        <v>82</v>
      </c>
      <c r="J3438" s="2" t="s">
        <v>83</v>
      </c>
      <c r="K3438" s="2" t="s">
        <v>2282</v>
      </c>
      <c r="L3438" s="3">
        <v>0.34375</v>
      </c>
      <c r="M3438" s="2" t="s">
        <v>372</v>
      </c>
      <c r="N3438" s="2" t="s">
        <v>500</v>
      </c>
      <c r="O3438" s="2"/>
    </row>
    <row r="3439" spans="1:15" x14ac:dyDescent="0.25">
      <c r="A3439" s="2" t="s">
        <v>15</v>
      </c>
      <c r="B3439" s="2" t="str">
        <f>"FES1162771928"</f>
        <v>FES1162771928</v>
      </c>
      <c r="C3439" s="2" t="s">
        <v>2197</v>
      </c>
      <c r="D3439" s="2">
        <v>2</v>
      </c>
      <c r="E3439" s="2" t="str">
        <f>"2170758755"</f>
        <v>2170758755</v>
      </c>
      <c r="F3439" s="2" t="s">
        <v>17</v>
      </c>
      <c r="G3439" s="2" t="s">
        <v>18</v>
      </c>
      <c r="H3439" s="2" t="s">
        <v>25</v>
      </c>
      <c r="I3439" s="2" t="s">
        <v>345</v>
      </c>
      <c r="J3439" s="2" t="s">
        <v>412</v>
      </c>
      <c r="K3439" s="2" t="s">
        <v>2356</v>
      </c>
      <c r="L3439" s="3">
        <v>0.34583333333333338</v>
      </c>
      <c r="M3439" s="2" t="s">
        <v>1052</v>
      </c>
      <c r="N3439" s="2" t="s">
        <v>500</v>
      </c>
      <c r="O3439" s="2"/>
    </row>
    <row r="3440" spans="1:15" x14ac:dyDescent="0.25">
      <c r="A3440" s="2" t="s">
        <v>15</v>
      </c>
      <c r="B3440" s="2" t="str">
        <f>"FES1162771909"</f>
        <v>FES1162771909</v>
      </c>
      <c r="C3440" s="2" t="s">
        <v>2197</v>
      </c>
      <c r="D3440" s="2">
        <v>1</v>
      </c>
      <c r="E3440" s="2" t="str">
        <f>"2170757577"</f>
        <v>2170757577</v>
      </c>
      <c r="F3440" s="2" t="s">
        <v>17</v>
      </c>
      <c r="G3440" s="2" t="s">
        <v>18</v>
      </c>
      <c r="H3440" s="2" t="s">
        <v>36</v>
      </c>
      <c r="I3440" s="2" t="s">
        <v>37</v>
      </c>
      <c r="J3440" s="2" t="s">
        <v>869</v>
      </c>
      <c r="K3440" s="2" t="s">
        <v>2282</v>
      </c>
      <c r="L3440" s="3">
        <v>0.36944444444444446</v>
      </c>
      <c r="M3440" s="2" t="s">
        <v>2331</v>
      </c>
      <c r="N3440" s="2" t="s">
        <v>500</v>
      </c>
      <c r="O3440" s="2"/>
    </row>
    <row r="3441" spans="1:15" x14ac:dyDescent="0.25">
      <c r="A3441" s="2" t="s">
        <v>15</v>
      </c>
      <c r="B3441" s="2" t="str">
        <f>"FES1162771939"</f>
        <v>FES1162771939</v>
      </c>
      <c r="C3441" s="2" t="s">
        <v>2197</v>
      </c>
      <c r="D3441" s="2">
        <v>1</v>
      </c>
      <c r="E3441" s="2" t="str">
        <f>"2170758949"</f>
        <v>2170758949</v>
      </c>
      <c r="F3441" s="2" t="s">
        <v>17</v>
      </c>
      <c r="G3441" s="2" t="s">
        <v>18</v>
      </c>
      <c r="H3441" s="2" t="s">
        <v>19</v>
      </c>
      <c r="I3441" s="2" t="s">
        <v>85</v>
      </c>
      <c r="J3441" s="2" t="s">
        <v>2292</v>
      </c>
      <c r="K3441" s="2" t="s">
        <v>2356</v>
      </c>
      <c r="L3441" s="3">
        <v>0.5</v>
      </c>
      <c r="M3441" s="2" t="s">
        <v>2444</v>
      </c>
      <c r="N3441" s="2" t="s">
        <v>500</v>
      </c>
      <c r="O3441" s="2"/>
    </row>
    <row r="3442" spans="1:15" x14ac:dyDescent="0.25">
      <c r="A3442" s="2" t="s">
        <v>15</v>
      </c>
      <c r="B3442" s="2" t="str">
        <f>"FES1162771934"</f>
        <v>FES1162771934</v>
      </c>
      <c r="C3442" s="2" t="s">
        <v>2197</v>
      </c>
      <c r="D3442" s="2">
        <v>1</v>
      </c>
      <c r="E3442" s="2" t="str">
        <f>"2170758943"</f>
        <v>2170758943</v>
      </c>
      <c r="F3442" s="2" t="s">
        <v>17</v>
      </c>
      <c r="G3442" s="2" t="s">
        <v>18</v>
      </c>
      <c r="H3442" s="2" t="s">
        <v>18</v>
      </c>
      <c r="I3442" s="2" t="s">
        <v>329</v>
      </c>
      <c r="J3442" s="2" t="s">
        <v>2293</v>
      </c>
      <c r="K3442" s="2" t="s">
        <v>2282</v>
      </c>
      <c r="L3442" s="3">
        <v>0.33333333333333331</v>
      </c>
      <c r="M3442" s="2" t="s">
        <v>2332</v>
      </c>
      <c r="N3442" s="2" t="s">
        <v>500</v>
      </c>
      <c r="O3442" s="2"/>
    </row>
    <row r="3443" spans="1:15" x14ac:dyDescent="0.25">
      <c r="A3443" s="2" t="s">
        <v>15</v>
      </c>
      <c r="B3443" s="2" t="str">
        <f>"FES1162771925"</f>
        <v>FES1162771925</v>
      </c>
      <c r="C3443" s="2" t="s">
        <v>2197</v>
      </c>
      <c r="D3443" s="2">
        <v>1</v>
      </c>
      <c r="E3443" s="2" t="str">
        <f>"2170758687"</f>
        <v>2170758687</v>
      </c>
      <c r="F3443" s="2" t="s">
        <v>17</v>
      </c>
      <c r="G3443" s="2" t="s">
        <v>18</v>
      </c>
      <c r="H3443" s="2" t="s">
        <v>78</v>
      </c>
      <c r="I3443" s="2" t="s">
        <v>79</v>
      </c>
      <c r="J3443" s="2" t="s">
        <v>446</v>
      </c>
      <c r="K3443" s="2" t="s">
        <v>2282</v>
      </c>
      <c r="L3443" s="3">
        <v>0.39097222222222222</v>
      </c>
      <c r="M3443" s="2" t="s">
        <v>199</v>
      </c>
      <c r="N3443" s="2" t="s">
        <v>500</v>
      </c>
      <c r="O3443" s="2"/>
    </row>
    <row r="3444" spans="1:15" x14ac:dyDescent="0.25">
      <c r="A3444" s="22" t="s">
        <v>15</v>
      </c>
      <c r="B3444" s="22" t="str">
        <f>"FES1162771890"</f>
        <v>FES1162771890</v>
      </c>
      <c r="C3444" s="22" t="s">
        <v>2197</v>
      </c>
      <c r="D3444" s="22">
        <v>1</v>
      </c>
      <c r="E3444" s="22" t="str">
        <f>"2170755988"</f>
        <v>2170755988</v>
      </c>
      <c r="F3444" s="22" t="s">
        <v>17</v>
      </c>
      <c r="G3444" s="22" t="s">
        <v>18</v>
      </c>
      <c r="H3444" s="22" t="s">
        <v>19</v>
      </c>
      <c r="I3444" s="22" t="s">
        <v>20</v>
      </c>
      <c r="J3444" s="22" t="s">
        <v>2210</v>
      </c>
      <c r="K3444" s="22" t="s">
        <v>2490</v>
      </c>
      <c r="L3444" s="22"/>
      <c r="M3444" s="22" t="s">
        <v>23</v>
      </c>
      <c r="N3444" s="22" t="s">
        <v>175</v>
      </c>
      <c r="O3444" s="22"/>
    </row>
    <row r="3445" spans="1:15" x14ac:dyDescent="0.25">
      <c r="A3445" s="2" t="s">
        <v>15</v>
      </c>
      <c r="B3445" s="2" t="str">
        <f>"FES1162771882"</f>
        <v>FES1162771882</v>
      </c>
      <c r="C3445" s="2" t="s">
        <v>2197</v>
      </c>
      <c r="D3445" s="2">
        <v>1</v>
      </c>
      <c r="E3445" s="2" t="str">
        <f>"2170753829"</f>
        <v>2170753829</v>
      </c>
      <c r="F3445" s="2" t="s">
        <v>17</v>
      </c>
      <c r="G3445" s="2" t="s">
        <v>18</v>
      </c>
      <c r="H3445" s="2" t="s">
        <v>36</v>
      </c>
      <c r="I3445" s="2" t="s">
        <v>37</v>
      </c>
      <c r="J3445" s="2" t="s">
        <v>2294</v>
      </c>
      <c r="K3445" s="2" t="s">
        <v>2356</v>
      </c>
      <c r="L3445" s="3">
        <v>0.52777777777777779</v>
      </c>
      <c r="M3445" s="2" t="s">
        <v>2445</v>
      </c>
      <c r="N3445" s="2" t="s">
        <v>500</v>
      </c>
      <c r="O3445" s="2"/>
    </row>
    <row r="3446" spans="1:15" x14ac:dyDescent="0.25">
      <c r="A3446" s="2" t="s">
        <v>15</v>
      </c>
      <c r="B3446" s="2" t="str">
        <f>"FES1162771894"</f>
        <v>FES1162771894</v>
      </c>
      <c r="C3446" s="2" t="s">
        <v>2197</v>
      </c>
      <c r="D3446" s="2">
        <v>1</v>
      </c>
      <c r="E3446" s="2" t="str">
        <f>"2170756755"</f>
        <v>2170756755</v>
      </c>
      <c r="F3446" s="2" t="s">
        <v>17</v>
      </c>
      <c r="G3446" s="2" t="s">
        <v>18</v>
      </c>
      <c r="H3446" s="2" t="s">
        <v>36</v>
      </c>
      <c r="I3446" s="2" t="s">
        <v>67</v>
      </c>
      <c r="J3446" s="2" t="s">
        <v>312</v>
      </c>
      <c r="K3446" s="2" t="s">
        <v>2282</v>
      </c>
      <c r="L3446" s="3">
        <v>0.39930555555555558</v>
      </c>
      <c r="M3446" s="2" t="s">
        <v>311</v>
      </c>
      <c r="N3446" s="2" t="s">
        <v>500</v>
      </c>
      <c r="O3446" s="2"/>
    </row>
    <row r="3447" spans="1:15" x14ac:dyDescent="0.25">
      <c r="A3447" s="2" t="s">
        <v>15</v>
      </c>
      <c r="B3447" s="2" t="str">
        <f>"FES1162771947"</f>
        <v>FES1162771947</v>
      </c>
      <c r="C3447" s="2" t="s">
        <v>2197</v>
      </c>
      <c r="D3447" s="2">
        <v>1</v>
      </c>
      <c r="E3447" s="2" t="str">
        <f>"2170758925"</f>
        <v>2170758925</v>
      </c>
      <c r="F3447" s="2" t="s">
        <v>17</v>
      </c>
      <c r="G3447" s="2" t="s">
        <v>18</v>
      </c>
      <c r="H3447" s="2" t="s">
        <v>25</v>
      </c>
      <c r="I3447" s="2" t="s">
        <v>26</v>
      </c>
      <c r="J3447" s="2" t="s">
        <v>654</v>
      </c>
      <c r="K3447" s="2" t="s">
        <v>2282</v>
      </c>
      <c r="L3447" s="3">
        <v>0.43055555555555558</v>
      </c>
      <c r="M3447" s="2" t="s">
        <v>725</v>
      </c>
      <c r="N3447" s="2" t="s">
        <v>500</v>
      </c>
      <c r="O3447" s="2"/>
    </row>
    <row r="3448" spans="1:15" x14ac:dyDescent="0.25">
      <c r="A3448" s="2" t="s">
        <v>15</v>
      </c>
      <c r="B3448" s="2" t="str">
        <f>"FES1162771945"</f>
        <v>FES1162771945</v>
      </c>
      <c r="C3448" s="2" t="s">
        <v>2197</v>
      </c>
      <c r="D3448" s="2">
        <v>1</v>
      </c>
      <c r="E3448" s="2" t="str">
        <f>"2170741855"</f>
        <v>2170741855</v>
      </c>
      <c r="F3448" s="2" t="s">
        <v>17</v>
      </c>
      <c r="G3448" s="2" t="s">
        <v>18</v>
      </c>
      <c r="H3448" s="2" t="s">
        <v>25</v>
      </c>
      <c r="I3448" s="2" t="s">
        <v>26</v>
      </c>
      <c r="J3448" s="2" t="s">
        <v>1020</v>
      </c>
      <c r="K3448" s="2" t="s">
        <v>2282</v>
      </c>
      <c r="L3448" s="3">
        <v>0.37986111111111115</v>
      </c>
      <c r="M3448" s="2" t="s">
        <v>1334</v>
      </c>
      <c r="N3448" s="2" t="s">
        <v>500</v>
      </c>
      <c r="O3448" s="2"/>
    </row>
    <row r="3449" spans="1:15" x14ac:dyDescent="0.25">
      <c r="A3449" s="2" t="s">
        <v>15</v>
      </c>
      <c r="B3449" s="2" t="str">
        <f>"FES1162771936"</f>
        <v>FES1162771936</v>
      </c>
      <c r="C3449" s="2" t="s">
        <v>2197</v>
      </c>
      <c r="D3449" s="2">
        <v>1</v>
      </c>
      <c r="E3449" s="2" t="str">
        <f>"2170758945"</f>
        <v>2170758945</v>
      </c>
      <c r="F3449" s="2" t="s">
        <v>17</v>
      </c>
      <c r="G3449" s="2" t="s">
        <v>18</v>
      </c>
      <c r="H3449" s="2" t="s">
        <v>36</v>
      </c>
      <c r="I3449" s="2" t="s">
        <v>1129</v>
      </c>
      <c r="J3449" s="2" t="s">
        <v>1130</v>
      </c>
      <c r="K3449" s="2" t="s">
        <v>2282</v>
      </c>
      <c r="L3449" s="3">
        <v>0.4375</v>
      </c>
      <c r="M3449" s="2" t="s">
        <v>2446</v>
      </c>
      <c r="N3449" s="2" t="s">
        <v>500</v>
      </c>
      <c r="O3449" s="2"/>
    </row>
    <row r="3450" spans="1:15" x14ac:dyDescent="0.25">
      <c r="A3450" s="2" t="s">
        <v>15</v>
      </c>
      <c r="B3450" s="2" t="str">
        <f>"FES1162771893"</f>
        <v>FES1162771893</v>
      </c>
      <c r="C3450" s="2" t="s">
        <v>2197</v>
      </c>
      <c r="D3450" s="2">
        <v>1</v>
      </c>
      <c r="E3450" s="2" t="str">
        <f>"2170756754"</f>
        <v>2170756754</v>
      </c>
      <c r="F3450" s="2" t="s">
        <v>17</v>
      </c>
      <c r="G3450" s="2" t="s">
        <v>18</v>
      </c>
      <c r="H3450" s="2" t="s">
        <v>36</v>
      </c>
      <c r="I3450" s="2" t="s">
        <v>67</v>
      </c>
      <c r="J3450" s="2" t="s">
        <v>145</v>
      </c>
      <c r="K3450" s="2" t="s">
        <v>2282</v>
      </c>
      <c r="L3450" s="3">
        <v>0.3979166666666667</v>
      </c>
      <c r="M3450" s="2" t="s">
        <v>311</v>
      </c>
      <c r="N3450" s="2" t="s">
        <v>500</v>
      </c>
      <c r="O3450" s="2"/>
    </row>
    <row r="3451" spans="1:15" x14ac:dyDescent="0.25">
      <c r="A3451" s="2" t="s">
        <v>15</v>
      </c>
      <c r="B3451" s="2" t="str">
        <f>"FES1162771942"</f>
        <v>FES1162771942</v>
      </c>
      <c r="C3451" s="2" t="s">
        <v>2197</v>
      </c>
      <c r="D3451" s="2">
        <v>1</v>
      </c>
      <c r="E3451" s="2" t="str">
        <f>"2170758952"</f>
        <v>2170758952</v>
      </c>
      <c r="F3451" s="2" t="s">
        <v>17</v>
      </c>
      <c r="G3451" s="2" t="s">
        <v>18</v>
      </c>
      <c r="H3451" s="2" t="s">
        <v>33</v>
      </c>
      <c r="I3451" s="2" t="s">
        <v>34</v>
      </c>
      <c r="J3451" s="2" t="s">
        <v>868</v>
      </c>
      <c r="K3451" s="2" t="s">
        <v>2282</v>
      </c>
      <c r="L3451" s="3">
        <v>0.43333333333333335</v>
      </c>
      <c r="M3451" s="2" t="s">
        <v>1182</v>
      </c>
      <c r="N3451" s="2" t="s">
        <v>500</v>
      </c>
      <c r="O3451" s="2"/>
    </row>
    <row r="3452" spans="1:15" x14ac:dyDescent="0.25">
      <c r="A3452" s="2" t="s">
        <v>15</v>
      </c>
      <c r="B3452" s="2" t="str">
        <f>"FES1162771935"</f>
        <v>FES1162771935</v>
      </c>
      <c r="C3452" s="2" t="s">
        <v>2197</v>
      </c>
      <c r="D3452" s="2">
        <v>1</v>
      </c>
      <c r="E3452" s="2" t="str">
        <f>"2170758944"</f>
        <v>2170758944</v>
      </c>
      <c r="F3452" s="2" t="s">
        <v>17</v>
      </c>
      <c r="G3452" s="2" t="s">
        <v>18</v>
      </c>
      <c r="H3452" s="2" t="s">
        <v>36</v>
      </c>
      <c r="I3452" s="2" t="s">
        <v>1129</v>
      </c>
      <c r="J3452" s="2" t="s">
        <v>1130</v>
      </c>
      <c r="K3452" s="2" t="s">
        <v>2282</v>
      </c>
      <c r="L3452" s="3">
        <v>0.4375</v>
      </c>
      <c r="M3452" s="2" t="s">
        <v>2446</v>
      </c>
      <c r="N3452" s="2" t="s">
        <v>500</v>
      </c>
      <c r="O3452" s="2"/>
    </row>
    <row r="3453" spans="1:15" x14ac:dyDescent="0.25">
      <c r="A3453" s="2" t="s">
        <v>15</v>
      </c>
      <c r="B3453" s="2" t="str">
        <f>"FES1162771949"</f>
        <v>FES1162771949</v>
      </c>
      <c r="C3453" s="2" t="s">
        <v>2197</v>
      </c>
      <c r="D3453" s="2">
        <v>1</v>
      </c>
      <c r="E3453" s="2" t="str">
        <f>"2170758961"</f>
        <v>2170758961</v>
      </c>
      <c r="F3453" s="2" t="s">
        <v>17</v>
      </c>
      <c r="G3453" s="2" t="s">
        <v>18</v>
      </c>
      <c r="H3453" s="2" t="s">
        <v>25</v>
      </c>
      <c r="I3453" s="2" t="s">
        <v>26</v>
      </c>
      <c r="J3453" s="2" t="s">
        <v>100</v>
      </c>
      <c r="K3453" s="2" t="s">
        <v>2282</v>
      </c>
      <c r="L3453" s="3">
        <v>0.30486111111111108</v>
      </c>
      <c r="M3453" s="2" t="s">
        <v>2264</v>
      </c>
      <c r="N3453" s="2" t="s">
        <v>500</v>
      </c>
      <c r="O3453" s="2"/>
    </row>
    <row r="3454" spans="1:15" x14ac:dyDescent="0.25">
      <c r="A3454" s="2" t="s">
        <v>15</v>
      </c>
      <c r="B3454" s="2" t="str">
        <f>"FES1162771960"</f>
        <v>FES1162771960</v>
      </c>
      <c r="C3454" s="2" t="s">
        <v>2197</v>
      </c>
      <c r="D3454" s="2">
        <v>1</v>
      </c>
      <c r="E3454" s="2" t="str">
        <f>"2170758968"</f>
        <v>2170758968</v>
      </c>
      <c r="F3454" s="2" t="s">
        <v>17</v>
      </c>
      <c r="G3454" s="2" t="s">
        <v>18</v>
      </c>
      <c r="H3454" s="2" t="s">
        <v>18</v>
      </c>
      <c r="I3454" s="2" t="s">
        <v>57</v>
      </c>
      <c r="J3454" s="2" t="s">
        <v>92</v>
      </c>
      <c r="K3454" s="2" t="s">
        <v>2282</v>
      </c>
      <c r="L3454" s="3">
        <v>0.29722222222222222</v>
      </c>
      <c r="M3454" s="2" t="s">
        <v>2333</v>
      </c>
      <c r="N3454" s="2" t="s">
        <v>500</v>
      </c>
      <c r="O3454" s="2"/>
    </row>
    <row r="3455" spans="1:15" x14ac:dyDescent="0.25">
      <c r="A3455" s="2" t="s">
        <v>15</v>
      </c>
      <c r="B3455" s="2" t="str">
        <f>"FES1162771904"</f>
        <v>FES1162771904</v>
      </c>
      <c r="C3455" s="2" t="s">
        <v>2197</v>
      </c>
      <c r="D3455" s="2">
        <v>1</v>
      </c>
      <c r="E3455" s="2" t="str">
        <f>"2170757344"</f>
        <v>2170757344</v>
      </c>
      <c r="F3455" s="2" t="s">
        <v>2443</v>
      </c>
      <c r="G3455" s="2" t="s">
        <v>206</v>
      </c>
      <c r="H3455" s="2" t="s">
        <v>206</v>
      </c>
      <c r="I3455" s="2" t="s">
        <v>65</v>
      </c>
      <c r="J3455" s="2" t="s">
        <v>2295</v>
      </c>
      <c r="K3455" s="2" t="s">
        <v>2282</v>
      </c>
      <c r="L3455" s="3">
        <v>0.39583333333333331</v>
      </c>
      <c r="M3455" s="2" t="s">
        <v>2334</v>
      </c>
      <c r="N3455" s="2" t="s">
        <v>500</v>
      </c>
      <c r="O3455" s="2"/>
    </row>
    <row r="3456" spans="1:15" x14ac:dyDescent="0.25">
      <c r="A3456" s="2" t="s">
        <v>15</v>
      </c>
      <c r="B3456" s="2" t="str">
        <f>"FES1162772011"</f>
        <v>FES1162772011</v>
      </c>
      <c r="C3456" s="2" t="s">
        <v>2197</v>
      </c>
      <c r="D3456" s="2">
        <v>1</v>
      </c>
      <c r="E3456" s="2" t="str">
        <f>"2170756094 3"</f>
        <v>2170756094 3</v>
      </c>
      <c r="F3456" s="2" t="s">
        <v>17</v>
      </c>
      <c r="G3456" s="2" t="s">
        <v>18</v>
      </c>
      <c r="H3456" s="2" t="s">
        <v>25</v>
      </c>
      <c r="I3456" s="2" t="s">
        <v>42</v>
      </c>
      <c r="J3456" s="2" t="s">
        <v>416</v>
      </c>
      <c r="K3456" s="2" t="s">
        <v>2282</v>
      </c>
      <c r="L3456" s="3">
        <v>0.53194444444444444</v>
      </c>
      <c r="M3456" s="2" t="s">
        <v>688</v>
      </c>
      <c r="N3456" s="2" t="s">
        <v>500</v>
      </c>
      <c r="O3456" s="2"/>
    </row>
    <row r="3457" spans="1:15" x14ac:dyDescent="0.25">
      <c r="A3457" s="2" t="s">
        <v>15</v>
      </c>
      <c r="B3457" s="2" t="str">
        <f>"FES1162771986"</f>
        <v>FES1162771986</v>
      </c>
      <c r="C3457" s="2" t="s">
        <v>2197</v>
      </c>
      <c r="D3457" s="2">
        <v>1</v>
      </c>
      <c r="E3457" s="2" t="str">
        <f>"2170758993"</f>
        <v>2170758993</v>
      </c>
      <c r="F3457" s="2" t="s">
        <v>17</v>
      </c>
      <c r="G3457" s="2" t="s">
        <v>18</v>
      </c>
      <c r="H3457" s="2" t="s">
        <v>19</v>
      </c>
      <c r="I3457" s="2" t="s">
        <v>111</v>
      </c>
      <c r="J3457" s="2" t="s">
        <v>405</v>
      </c>
      <c r="K3457" s="2" t="s">
        <v>2282</v>
      </c>
      <c r="L3457" s="3">
        <v>0.32222222222222224</v>
      </c>
      <c r="M3457" s="2" t="s">
        <v>2284</v>
      </c>
      <c r="N3457" s="2" t="s">
        <v>500</v>
      </c>
      <c r="O3457" s="2"/>
    </row>
    <row r="3458" spans="1:15" x14ac:dyDescent="0.25">
      <c r="A3458" s="2" t="s">
        <v>15</v>
      </c>
      <c r="B3458" s="2" t="str">
        <f>"FES1162771875"</f>
        <v>FES1162771875</v>
      </c>
      <c r="C3458" s="2" t="s">
        <v>2197</v>
      </c>
      <c r="D3458" s="2">
        <v>1</v>
      </c>
      <c r="E3458" s="2" t="str">
        <f>"2170758929"</f>
        <v>2170758929</v>
      </c>
      <c r="F3458" s="2" t="s">
        <v>480</v>
      </c>
      <c r="G3458" s="2" t="s">
        <v>206</v>
      </c>
      <c r="H3458" s="2" t="s">
        <v>206</v>
      </c>
      <c r="I3458" s="2" t="s">
        <v>57</v>
      </c>
      <c r="J3458" s="2" t="s">
        <v>58</v>
      </c>
      <c r="K3458" s="2" t="s">
        <v>2282</v>
      </c>
      <c r="L3458" s="3">
        <v>0.38750000000000001</v>
      </c>
      <c r="M3458" s="2" t="s">
        <v>1385</v>
      </c>
      <c r="N3458" s="2" t="s">
        <v>500</v>
      </c>
      <c r="O3458" s="2"/>
    </row>
    <row r="3459" spans="1:15" x14ac:dyDescent="0.25">
      <c r="A3459" s="2" t="s">
        <v>15</v>
      </c>
      <c r="B3459" s="2" t="str">
        <f>"FES1162771972"</f>
        <v>FES1162771972</v>
      </c>
      <c r="C3459" s="2" t="s">
        <v>2197</v>
      </c>
      <c r="D3459" s="2">
        <v>1</v>
      </c>
      <c r="E3459" s="2" t="str">
        <f>"2170758978"</f>
        <v>2170758978</v>
      </c>
      <c r="F3459" s="2" t="s">
        <v>17</v>
      </c>
      <c r="G3459" s="2" t="s">
        <v>18</v>
      </c>
      <c r="H3459" s="2" t="s">
        <v>19</v>
      </c>
      <c r="I3459" s="2" t="s">
        <v>20</v>
      </c>
      <c r="J3459" s="2" t="s">
        <v>380</v>
      </c>
      <c r="K3459" s="2" t="s">
        <v>2282</v>
      </c>
      <c r="L3459" s="3">
        <v>0.73125000000000007</v>
      </c>
      <c r="M3459" s="2" t="s">
        <v>590</v>
      </c>
      <c r="N3459" s="2" t="s">
        <v>500</v>
      </c>
      <c r="O3459" s="2"/>
    </row>
    <row r="3460" spans="1:15" x14ac:dyDescent="0.25">
      <c r="A3460" s="2" t="s">
        <v>15</v>
      </c>
      <c r="B3460" s="2" t="str">
        <f>"FES1162771918"</f>
        <v>FES1162771918</v>
      </c>
      <c r="C3460" s="2" t="s">
        <v>2197</v>
      </c>
      <c r="D3460" s="2">
        <v>1</v>
      </c>
      <c r="E3460" s="2" t="str">
        <f>"2170758363"</f>
        <v>2170758363</v>
      </c>
      <c r="F3460" s="2" t="s">
        <v>17</v>
      </c>
      <c r="G3460" s="2" t="s">
        <v>18</v>
      </c>
      <c r="H3460" s="2" t="s">
        <v>18</v>
      </c>
      <c r="I3460" s="2" t="s">
        <v>63</v>
      </c>
      <c r="J3460" s="2" t="s">
        <v>93</v>
      </c>
      <c r="K3460" s="2" t="s">
        <v>2282</v>
      </c>
      <c r="L3460" s="3">
        <v>0.35416666666666669</v>
      </c>
      <c r="M3460" s="2" t="s">
        <v>736</v>
      </c>
      <c r="N3460" s="2" t="s">
        <v>500</v>
      </c>
      <c r="O3460" s="2"/>
    </row>
    <row r="3461" spans="1:15" x14ac:dyDescent="0.25">
      <c r="A3461" s="2" t="s">
        <v>15</v>
      </c>
      <c r="B3461" s="2" t="str">
        <f>"FES1162771897"</f>
        <v>FES1162771897</v>
      </c>
      <c r="C3461" s="2" t="s">
        <v>2197</v>
      </c>
      <c r="D3461" s="2">
        <v>1</v>
      </c>
      <c r="E3461" s="2" t="str">
        <f>"2170756938"</f>
        <v>2170756938</v>
      </c>
      <c r="F3461" s="2" t="s">
        <v>17</v>
      </c>
      <c r="G3461" s="2" t="s">
        <v>18</v>
      </c>
      <c r="H3461" s="2" t="s">
        <v>88</v>
      </c>
      <c r="I3461" s="2" t="s">
        <v>109</v>
      </c>
      <c r="J3461" s="2" t="s">
        <v>141</v>
      </c>
      <c r="K3461" s="2" t="s">
        <v>2282</v>
      </c>
      <c r="L3461" s="3">
        <v>0.38472222222222219</v>
      </c>
      <c r="M3461" s="2" t="s">
        <v>382</v>
      </c>
      <c r="N3461" s="2" t="s">
        <v>500</v>
      </c>
      <c r="O3461" s="2"/>
    </row>
    <row r="3462" spans="1:15" x14ac:dyDescent="0.25">
      <c r="A3462" s="2" t="s">
        <v>15</v>
      </c>
      <c r="B3462" s="2" t="str">
        <f>"FES1162771991"</f>
        <v>FES1162771991</v>
      </c>
      <c r="C3462" s="2" t="s">
        <v>2197</v>
      </c>
      <c r="D3462" s="2">
        <v>1</v>
      </c>
      <c r="E3462" s="2" t="str">
        <f>"2170758997"</f>
        <v>2170758997</v>
      </c>
      <c r="F3462" s="2" t="s">
        <v>17</v>
      </c>
      <c r="G3462" s="2" t="s">
        <v>18</v>
      </c>
      <c r="H3462" s="2" t="s">
        <v>33</v>
      </c>
      <c r="I3462" s="2" t="s">
        <v>1231</v>
      </c>
      <c r="J3462" s="2" t="s">
        <v>638</v>
      </c>
      <c r="K3462" s="2" t="s">
        <v>2356</v>
      </c>
      <c r="L3462" s="3">
        <v>0.51736111111111105</v>
      </c>
      <c r="M3462" s="2" t="s">
        <v>2447</v>
      </c>
      <c r="N3462" s="2" t="s">
        <v>500</v>
      </c>
      <c r="O3462" s="2"/>
    </row>
    <row r="3463" spans="1:15" x14ac:dyDescent="0.25">
      <c r="A3463" s="2" t="s">
        <v>15</v>
      </c>
      <c r="B3463" s="2" t="str">
        <f>"FES1162772000"</f>
        <v>FES1162772000</v>
      </c>
      <c r="C3463" s="2" t="s">
        <v>2197</v>
      </c>
      <c r="D3463" s="2">
        <v>1</v>
      </c>
      <c r="E3463" s="2" t="str">
        <f>"2170759005"</f>
        <v>2170759005</v>
      </c>
      <c r="F3463" s="2" t="s">
        <v>17</v>
      </c>
      <c r="G3463" s="2" t="s">
        <v>18</v>
      </c>
      <c r="H3463" s="2" t="s">
        <v>33</v>
      </c>
      <c r="I3463" s="2" t="s">
        <v>34</v>
      </c>
      <c r="J3463" s="2" t="s">
        <v>868</v>
      </c>
      <c r="K3463" s="2" t="s">
        <v>2282</v>
      </c>
      <c r="L3463" s="3">
        <v>0.43333333333333335</v>
      </c>
      <c r="M3463" s="2" t="s">
        <v>1182</v>
      </c>
      <c r="N3463" s="2" t="s">
        <v>500</v>
      </c>
      <c r="O3463" s="2"/>
    </row>
    <row r="3464" spans="1:15" x14ac:dyDescent="0.25">
      <c r="A3464" s="2" t="s">
        <v>15</v>
      </c>
      <c r="B3464" s="2" t="str">
        <f>"FES1162771996"</f>
        <v>FES1162771996</v>
      </c>
      <c r="C3464" s="2" t="s">
        <v>2197</v>
      </c>
      <c r="D3464" s="2">
        <v>1</v>
      </c>
      <c r="E3464" s="2" t="str">
        <f>"2170759001"</f>
        <v>2170759001</v>
      </c>
      <c r="F3464" s="2" t="s">
        <v>17</v>
      </c>
      <c r="G3464" s="2" t="s">
        <v>18</v>
      </c>
      <c r="H3464" s="2" t="s">
        <v>36</v>
      </c>
      <c r="I3464" s="2" t="s">
        <v>37</v>
      </c>
      <c r="J3464" s="2" t="s">
        <v>104</v>
      </c>
      <c r="K3464" s="2" t="s">
        <v>2282</v>
      </c>
      <c r="L3464" s="3">
        <v>0.35833333333333334</v>
      </c>
      <c r="M3464" s="2" t="s">
        <v>2335</v>
      </c>
      <c r="N3464" s="2" t="s">
        <v>500</v>
      </c>
      <c r="O3464" s="2"/>
    </row>
    <row r="3465" spans="1:15" x14ac:dyDescent="0.25">
      <c r="A3465" s="2" t="s">
        <v>15</v>
      </c>
      <c r="B3465" s="2" t="str">
        <f>"FES1162771966"</f>
        <v>FES1162771966</v>
      </c>
      <c r="C3465" s="2" t="s">
        <v>2197</v>
      </c>
      <c r="D3465" s="2">
        <v>1</v>
      </c>
      <c r="E3465" s="2" t="str">
        <f>"2170758776"</f>
        <v>2170758776</v>
      </c>
      <c r="F3465" s="2" t="s">
        <v>17</v>
      </c>
      <c r="G3465" s="2" t="s">
        <v>18</v>
      </c>
      <c r="H3465" s="2" t="s">
        <v>18</v>
      </c>
      <c r="I3465" s="2" t="s">
        <v>46</v>
      </c>
      <c r="J3465" s="2" t="s">
        <v>139</v>
      </c>
      <c r="K3465" s="2" t="s">
        <v>2282</v>
      </c>
      <c r="L3465" s="3">
        <v>0.2951388888888889</v>
      </c>
      <c r="M3465" s="2" t="s">
        <v>838</v>
      </c>
      <c r="N3465" s="2" t="s">
        <v>500</v>
      </c>
      <c r="O3465" s="2"/>
    </row>
    <row r="3466" spans="1:15" x14ac:dyDescent="0.25">
      <c r="A3466" s="2" t="s">
        <v>15</v>
      </c>
      <c r="B3466" s="2" t="str">
        <f>"FES1162771943"</f>
        <v>FES1162771943</v>
      </c>
      <c r="C3466" s="2" t="s">
        <v>2197</v>
      </c>
      <c r="D3466" s="2">
        <v>2</v>
      </c>
      <c r="E3466" s="2" t="str">
        <f>"2170758953"</f>
        <v>2170758953</v>
      </c>
      <c r="F3466" s="2" t="s">
        <v>17</v>
      </c>
      <c r="G3466" s="2" t="s">
        <v>18</v>
      </c>
      <c r="H3466" s="2" t="s">
        <v>18</v>
      </c>
      <c r="I3466" s="2" t="s">
        <v>163</v>
      </c>
      <c r="J3466" s="2" t="s">
        <v>912</v>
      </c>
      <c r="K3466" s="2" t="s">
        <v>2282</v>
      </c>
      <c r="L3466" s="3">
        <v>0.3263888888888889</v>
      </c>
      <c r="M3466" s="2" t="s">
        <v>2296</v>
      </c>
      <c r="N3466" s="2" t="s">
        <v>500</v>
      </c>
      <c r="O3466" s="2"/>
    </row>
    <row r="3467" spans="1:15" x14ac:dyDescent="0.25">
      <c r="A3467" s="2" t="s">
        <v>15</v>
      </c>
      <c r="B3467" s="2" t="str">
        <f>"FES1162772032"</f>
        <v>FES1162772032</v>
      </c>
      <c r="C3467" s="2" t="s">
        <v>2197</v>
      </c>
      <c r="D3467" s="2">
        <v>1</v>
      </c>
      <c r="E3467" s="2" t="str">
        <f>"2170759027"</f>
        <v>2170759027</v>
      </c>
      <c r="F3467" s="2" t="s">
        <v>17</v>
      </c>
      <c r="G3467" s="2" t="s">
        <v>18</v>
      </c>
      <c r="H3467" s="2" t="s">
        <v>78</v>
      </c>
      <c r="I3467" s="2" t="s">
        <v>79</v>
      </c>
      <c r="J3467" s="2" t="s">
        <v>898</v>
      </c>
      <c r="K3467" s="2" t="s">
        <v>2282</v>
      </c>
      <c r="L3467" s="3">
        <v>0.40347222222222223</v>
      </c>
      <c r="M3467" s="2" t="s">
        <v>1345</v>
      </c>
      <c r="N3467" s="2" t="s">
        <v>500</v>
      </c>
      <c r="O3467" s="2"/>
    </row>
    <row r="3468" spans="1:15" x14ac:dyDescent="0.25">
      <c r="A3468" s="2" t="s">
        <v>15</v>
      </c>
      <c r="B3468" s="2" t="str">
        <f>"FES1162771995"</f>
        <v>FES1162771995</v>
      </c>
      <c r="C3468" s="2" t="s">
        <v>2197</v>
      </c>
      <c r="D3468" s="2">
        <v>1</v>
      </c>
      <c r="E3468" s="2" t="str">
        <f>"2170759000"</f>
        <v>2170759000</v>
      </c>
      <c r="F3468" s="2" t="s">
        <v>17</v>
      </c>
      <c r="G3468" s="2" t="s">
        <v>18</v>
      </c>
      <c r="H3468" s="2" t="s">
        <v>33</v>
      </c>
      <c r="I3468" s="2" t="s">
        <v>34</v>
      </c>
      <c r="J3468" s="2" t="s">
        <v>400</v>
      </c>
      <c r="K3468" s="2" t="s">
        <v>2282</v>
      </c>
      <c r="L3468" s="3">
        <v>0.43333333333333335</v>
      </c>
      <c r="M3468" s="2" t="s">
        <v>706</v>
      </c>
      <c r="N3468" s="2" t="s">
        <v>500</v>
      </c>
      <c r="O3468" s="2"/>
    </row>
    <row r="3469" spans="1:15" x14ac:dyDescent="0.25">
      <c r="A3469" s="2" t="s">
        <v>15</v>
      </c>
      <c r="B3469" s="2" t="str">
        <f>"FES1162771983"</f>
        <v>FES1162771983</v>
      </c>
      <c r="C3469" s="2" t="s">
        <v>2197</v>
      </c>
      <c r="D3469" s="2">
        <v>1</v>
      </c>
      <c r="E3469" s="2" t="str">
        <f>"2170758989"</f>
        <v>2170758989</v>
      </c>
      <c r="F3469" s="2" t="s">
        <v>17</v>
      </c>
      <c r="G3469" s="2" t="s">
        <v>18</v>
      </c>
      <c r="H3469" s="2" t="s">
        <v>25</v>
      </c>
      <c r="I3469" s="2" t="s">
        <v>345</v>
      </c>
      <c r="J3469" s="2" t="s">
        <v>346</v>
      </c>
      <c r="K3469" s="2" t="s">
        <v>2356</v>
      </c>
      <c r="L3469" s="3">
        <v>0.41666666666666669</v>
      </c>
      <c r="M3469" s="2" t="s">
        <v>2448</v>
      </c>
      <c r="N3469" s="2" t="s">
        <v>500</v>
      </c>
      <c r="O3469" s="2"/>
    </row>
    <row r="3470" spans="1:15" x14ac:dyDescent="0.25">
      <c r="A3470" s="2" t="s">
        <v>15</v>
      </c>
      <c r="B3470" s="2" t="str">
        <f>"FES1162772022"</f>
        <v>FES1162772022</v>
      </c>
      <c r="C3470" s="2" t="s">
        <v>2197</v>
      </c>
      <c r="D3470" s="2">
        <v>1</v>
      </c>
      <c r="E3470" s="2" t="str">
        <f>"2170759017"</f>
        <v>2170759017</v>
      </c>
      <c r="F3470" s="2" t="s">
        <v>17</v>
      </c>
      <c r="G3470" s="2" t="s">
        <v>18</v>
      </c>
      <c r="H3470" s="2" t="s">
        <v>33</v>
      </c>
      <c r="I3470" s="2" t="s">
        <v>34</v>
      </c>
      <c r="J3470" s="2" t="s">
        <v>400</v>
      </c>
      <c r="K3470" s="2" t="s">
        <v>2282</v>
      </c>
      <c r="L3470" s="3">
        <v>0.43333333333333335</v>
      </c>
      <c r="M3470" s="2" t="s">
        <v>706</v>
      </c>
      <c r="N3470" s="2" t="s">
        <v>500</v>
      </c>
      <c r="O3470" s="2"/>
    </row>
    <row r="3471" spans="1:15" x14ac:dyDescent="0.25">
      <c r="A3471" s="2" t="s">
        <v>15</v>
      </c>
      <c r="B3471" s="2" t="str">
        <f>"FES1162772024"</f>
        <v>FES1162772024</v>
      </c>
      <c r="C3471" s="2" t="s">
        <v>2197</v>
      </c>
      <c r="D3471" s="2">
        <v>1</v>
      </c>
      <c r="E3471" s="2" t="str">
        <f>"2170759019"</f>
        <v>2170759019</v>
      </c>
      <c r="F3471" s="2" t="s">
        <v>17</v>
      </c>
      <c r="G3471" s="2" t="s">
        <v>18</v>
      </c>
      <c r="H3471" s="2" t="s">
        <v>33</v>
      </c>
      <c r="I3471" s="2" t="s">
        <v>34</v>
      </c>
      <c r="J3471" s="2" t="s">
        <v>400</v>
      </c>
      <c r="K3471" s="2" t="s">
        <v>2282</v>
      </c>
      <c r="L3471" s="3">
        <v>0.43333333333333335</v>
      </c>
      <c r="M3471" s="2" t="s">
        <v>706</v>
      </c>
      <c r="N3471" s="2" t="s">
        <v>500</v>
      </c>
      <c r="O3471" s="2"/>
    </row>
    <row r="3472" spans="1:15" x14ac:dyDescent="0.25">
      <c r="A3472" s="2" t="s">
        <v>15</v>
      </c>
      <c r="B3472" s="2" t="str">
        <f>"FES1162771975"</f>
        <v>FES1162771975</v>
      </c>
      <c r="C3472" s="2" t="s">
        <v>2197</v>
      </c>
      <c r="D3472" s="2">
        <v>1</v>
      </c>
      <c r="E3472" s="2" t="str">
        <f>"2170758186"</f>
        <v>2170758186</v>
      </c>
      <c r="F3472" s="2" t="s">
        <v>17</v>
      </c>
      <c r="G3472" s="2" t="s">
        <v>18</v>
      </c>
      <c r="H3472" s="2" t="s">
        <v>25</v>
      </c>
      <c r="I3472" s="2" t="s">
        <v>26</v>
      </c>
      <c r="J3472" s="2" t="s">
        <v>2297</v>
      </c>
      <c r="K3472" s="2" t="s">
        <v>2282</v>
      </c>
      <c r="L3472" s="3">
        <v>0.38125000000000003</v>
      </c>
      <c r="M3472" s="2" t="s">
        <v>2336</v>
      </c>
      <c r="N3472" s="2" t="s">
        <v>500</v>
      </c>
      <c r="O3472" s="2"/>
    </row>
    <row r="3473" spans="1:15" x14ac:dyDescent="0.25">
      <c r="A3473" s="2" t="s">
        <v>15</v>
      </c>
      <c r="B3473" s="2" t="str">
        <f>"FES1162771927"</f>
        <v>FES1162771927</v>
      </c>
      <c r="C3473" s="2" t="s">
        <v>2197</v>
      </c>
      <c r="D3473" s="2">
        <v>1</v>
      </c>
      <c r="E3473" s="2" t="str">
        <f>"2170758748"</f>
        <v>2170758748</v>
      </c>
      <c r="F3473" s="2" t="s">
        <v>205</v>
      </c>
      <c r="G3473" s="2" t="s">
        <v>206</v>
      </c>
      <c r="H3473" s="2" t="s">
        <v>78</v>
      </c>
      <c r="I3473" s="2" t="s">
        <v>79</v>
      </c>
      <c r="J3473" s="2" t="s">
        <v>664</v>
      </c>
      <c r="K3473" s="2" t="s">
        <v>2356</v>
      </c>
      <c r="L3473" s="3">
        <v>0.41805555555555557</v>
      </c>
      <c r="M3473" s="2" t="s">
        <v>2449</v>
      </c>
      <c r="N3473" s="2" t="s">
        <v>500</v>
      </c>
      <c r="O3473" s="2"/>
    </row>
    <row r="3474" spans="1:15" x14ac:dyDescent="0.25">
      <c r="A3474" s="2" t="s">
        <v>15</v>
      </c>
      <c r="B3474" s="2" t="str">
        <f>"FES1162771980"</f>
        <v>FES1162771980</v>
      </c>
      <c r="C3474" s="2" t="s">
        <v>2197</v>
      </c>
      <c r="D3474" s="2">
        <v>1</v>
      </c>
      <c r="E3474" s="2" t="str">
        <f>"2170758886"</f>
        <v>2170758886</v>
      </c>
      <c r="F3474" s="2" t="s">
        <v>17</v>
      </c>
      <c r="G3474" s="2" t="s">
        <v>18</v>
      </c>
      <c r="H3474" s="2" t="s">
        <v>18</v>
      </c>
      <c r="I3474" s="2" t="s">
        <v>50</v>
      </c>
      <c r="J3474" s="2" t="s">
        <v>285</v>
      </c>
      <c r="K3474" s="2" t="s">
        <v>2282</v>
      </c>
      <c r="L3474" s="3">
        <v>0.41666666666666669</v>
      </c>
      <c r="M3474" s="2" t="s">
        <v>1508</v>
      </c>
      <c r="N3474" s="2" t="s">
        <v>500</v>
      </c>
      <c r="O3474" s="2"/>
    </row>
    <row r="3475" spans="1:15" x14ac:dyDescent="0.25">
      <c r="A3475" s="2" t="s">
        <v>15</v>
      </c>
      <c r="B3475" s="2" t="str">
        <f>"FES1162771994"</f>
        <v>FES1162771994</v>
      </c>
      <c r="C3475" s="2" t="s">
        <v>2197</v>
      </c>
      <c r="D3475" s="2">
        <v>1</v>
      </c>
      <c r="E3475" s="2" t="str">
        <f>"2170758999"</f>
        <v>2170758999</v>
      </c>
      <c r="F3475" s="2" t="s">
        <v>17</v>
      </c>
      <c r="G3475" s="2" t="s">
        <v>18</v>
      </c>
      <c r="H3475" s="2" t="s">
        <v>25</v>
      </c>
      <c r="I3475" s="2" t="s">
        <v>125</v>
      </c>
      <c r="J3475" s="2" t="s">
        <v>126</v>
      </c>
      <c r="K3475" s="2" t="s">
        <v>2282</v>
      </c>
      <c r="L3475" s="3">
        <v>0.48749999999999999</v>
      </c>
      <c r="M3475" s="2" t="s">
        <v>235</v>
      </c>
      <c r="N3475" s="2" t="s">
        <v>500</v>
      </c>
      <c r="O3475" s="2"/>
    </row>
    <row r="3476" spans="1:15" x14ac:dyDescent="0.25">
      <c r="A3476" s="2" t="s">
        <v>15</v>
      </c>
      <c r="B3476" s="2" t="str">
        <f>"FES1162772019"</f>
        <v>FES1162772019</v>
      </c>
      <c r="C3476" s="2" t="s">
        <v>2197</v>
      </c>
      <c r="D3476" s="2">
        <v>1</v>
      </c>
      <c r="E3476" s="2" t="str">
        <f>"2170759014"</f>
        <v>2170759014</v>
      </c>
      <c r="F3476" s="2" t="s">
        <v>17</v>
      </c>
      <c r="G3476" s="2" t="s">
        <v>18</v>
      </c>
      <c r="H3476" s="2" t="s">
        <v>18</v>
      </c>
      <c r="I3476" s="2" t="s">
        <v>57</v>
      </c>
      <c r="J3476" s="2" t="s">
        <v>1616</v>
      </c>
      <c r="K3476" s="2" t="s">
        <v>2282</v>
      </c>
      <c r="L3476" s="3">
        <v>0.33611111111111108</v>
      </c>
      <c r="M3476" s="2" t="s">
        <v>2337</v>
      </c>
      <c r="N3476" s="2" t="s">
        <v>500</v>
      </c>
      <c r="O3476" s="2"/>
    </row>
    <row r="3477" spans="1:15" x14ac:dyDescent="0.25">
      <c r="A3477" s="2" t="s">
        <v>15</v>
      </c>
      <c r="B3477" s="2" t="str">
        <f>"FES1162772021"</f>
        <v>FES1162772021</v>
      </c>
      <c r="C3477" s="2" t="s">
        <v>2197</v>
      </c>
      <c r="D3477" s="2">
        <v>1</v>
      </c>
      <c r="E3477" s="2" t="str">
        <f>"2170759016"</f>
        <v>2170759016</v>
      </c>
      <c r="F3477" s="2" t="s">
        <v>17</v>
      </c>
      <c r="G3477" s="2" t="s">
        <v>18</v>
      </c>
      <c r="H3477" s="2" t="s">
        <v>18</v>
      </c>
      <c r="I3477" s="2" t="s">
        <v>63</v>
      </c>
      <c r="J3477" s="2" t="s">
        <v>421</v>
      </c>
      <c r="K3477" s="2" t="s">
        <v>2282</v>
      </c>
      <c r="L3477" s="3">
        <v>0.43055555555555558</v>
      </c>
      <c r="M3477" s="2" t="s">
        <v>1851</v>
      </c>
      <c r="N3477" s="2" t="s">
        <v>500</v>
      </c>
      <c r="O3477" s="2"/>
    </row>
    <row r="3478" spans="1:15" x14ac:dyDescent="0.25">
      <c r="A3478" s="2" t="s">
        <v>15</v>
      </c>
      <c r="B3478" s="2" t="str">
        <f>"FES1162771982"</f>
        <v>FES1162771982</v>
      </c>
      <c r="C3478" s="2" t="s">
        <v>2197</v>
      </c>
      <c r="D3478" s="2">
        <v>1</v>
      </c>
      <c r="E3478" s="2" t="str">
        <f>"2170758927"</f>
        <v>2170758927</v>
      </c>
      <c r="F3478" s="2" t="s">
        <v>17</v>
      </c>
      <c r="G3478" s="2" t="s">
        <v>18</v>
      </c>
      <c r="H3478" s="2" t="s">
        <v>657</v>
      </c>
      <c r="I3478" s="2" t="s">
        <v>2298</v>
      </c>
      <c r="J3478" s="2" t="s">
        <v>2299</v>
      </c>
      <c r="K3478" s="2" t="s">
        <v>2356</v>
      </c>
      <c r="L3478" s="3">
        <v>0.4375</v>
      </c>
      <c r="M3478" s="2" t="s">
        <v>2299</v>
      </c>
      <c r="N3478" s="2" t="s">
        <v>500</v>
      </c>
      <c r="O3478" s="2"/>
    </row>
    <row r="3479" spans="1:15" x14ac:dyDescent="0.25">
      <c r="A3479" s="2" t="s">
        <v>15</v>
      </c>
      <c r="B3479" s="2" t="str">
        <f>"FES1162771973"</f>
        <v>FES1162771973</v>
      </c>
      <c r="C3479" s="2" t="s">
        <v>2197</v>
      </c>
      <c r="D3479" s="2">
        <v>1</v>
      </c>
      <c r="E3479" s="2" t="str">
        <f>"2170758979"</f>
        <v>2170758979</v>
      </c>
      <c r="F3479" s="2" t="s">
        <v>17</v>
      </c>
      <c r="G3479" s="2" t="s">
        <v>18</v>
      </c>
      <c r="H3479" s="2" t="s">
        <v>88</v>
      </c>
      <c r="I3479" s="2" t="s">
        <v>109</v>
      </c>
      <c r="J3479" s="2" t="s">
        <v>155</v>
      </c>
      <c r="K3479" s="2" t="s">
        <v>2282</v>
      </c>
      <c r="L3479" s="3">
        <v>0.375</v>
      </c>
      <c r="M3479" s="2" t="s">
        <v>251</v>
      </c>
      <c r="N3479" s="2" t="s">
        <v>500</v>
      </c>
      <c r="O3479" s="2"/>
    </row>
    <row r="3480" spans="1:15" x14ac:dyDescent="0.25">
      <c r="A3480" s="2" t="s">
        <v>15</v>
      </c>
      <c r="B3480" s="2" t="str">
        <f>"FES1162772039"</f>
        <v>FES1162772039</v>
      </c>
      <c r="C3480" s="2" t="s">
        <v>2197</v>
      </c>
      <c r="D3480" s="2">
        <v>1</v>
      </c>
      <c r="E3480" s="2" t="str">
        <f>"2170759031"</f>
        <v>2170759031</v>
      </c>
      <c r="F3480" s="2" t="s">
        <v>17</v>
      </c>
      <c r="G3480" s="2" t="s">
        <v>18</v>
      </c>
      <c r="H3480" s="2" t="s">
        <v>25</v>
      </c>
      <c r="I3480" s="2" t="s">
        <v>26</v>
      </c>
      <c r="J3480" s="2" t="s">
        <v>762</v>
      </c>
      <c r="K3480" s="2" t="s">
        <v>2282</v>
      </c>
      <c r="L3480" s="3">
        <v>0.43055555555555558</v>
      </c>
      <c r="M3480" s="2" t="s">
        <v>819</v>
      </c>
      <c r="N3480" s="2" t="s">
        <v>500</v>
      </c>
      <c r="O3480" s="2"/>
    </row>
    <row r="3481" spans="1:15" x14ac:dyDescent="0.25">
      <c r="A3481" s="2" t="s">
        <v>15</v>
      </c>
      <c r="B3481" s="2" t="str">
        <f>"FES1162772040"</f>
        <v>FES1162772040</v>
      </c>
      <c r="C3481" s="2" t="s">
        <v>2197</v>
      </c>
      <c r="D3481" s="2">
        <v>1</v>
      </c>
      <c r="E3481" s="2" t="str">
        <f>"2170759033"</f>
        <v>2170759033</v>
      </c>
      <c r="F3481" s="2" t="s">
        <v>17</v>
      </c>
      <c r="G3481" s="2" t="s">
        <v>18</v>
      </c>
      <c r="H3481" s="2" t="s">
        <v>25</v>
      </c>
      <c r="I3481" s="2" t="s">
        <v>26</v>
      </c>
      <c r="J3481" s="2" t="s">
        <v>100</v>
      </c>
      <c r="K3481" s="2" t="s">
        <v>2282</v>
      </c>
      <c r="L3481" s="3">
        <v>0.41666666666666669</v>
      </c>
      <c r="M3481" s="2" t="s">
        <v>844</v>
      </c>
      <c r="N3481" s="2" t="s">
        <v>500</v>
      </c>
      <c r="O3481" s="2"/>
    </row>
    <row r="3482" spans="1:15" x14ac:dyDescent="0.25">
      <c r="A3482" s="2" t="s">
        <v>15</v>
      </c>
      <c r="B3482" s="2" t="str">
        <f>"FES1162772029"</f>
        <v>FES1162772029</v>
      </c>
      <c r="C3482" s="2" t="s">
        <v>2197</v>
      </c>
      <c r="D3482" s="2">
        <v>1</v>
      </c>
      <c r="E3482" s="2" t="str">
        <f>"2170759024"</f>
        <v>2170759024</v>
      </c>
      <c r="F3482" s="2" t="s">
        <v>17</v>
      </c>
      <c r="G3482" s="2" t="s">
        <v>18</v>
      </c>
      <c r="H3482" s="2" t="s">
        <v>25</v>
      </c>
      <c r="I3482" s="2" t="s">
        <v>125</v>
      </c>
      <c r="J3482" s="2" t="s">
        <v>126</v>
      </c>
      <c r="K3482" s="2" t="s">
        <v>2282</v>
      </c>
      <c r="L3482" s="3">
        <v>0.48749999999999999</v>
      </c>
      <c r="M3482" s="2" t="s">
        <v>235</v>
      </c>
      <c r="N3482" s="2" t="s">
        <v>500</v>
      </c>
      <c r="O3482" s="2"/>
    </row>
    <row r="3483" spans="1:15" x14ac:dyDescent="0.25">
      <c r="A3483" s="2" t="s">
        <v>15</v>
      </c>
      <c r="B3483" s="2" t="str">
        <f>"FES1162772010"</f>
        <v>FES1162772010</v>
      </c>
      <c r="C3483" s="2" t="s">
        <v>2197</v>
      </c>
      <c r="D3483" s="2">
        <v>1</v>
      </c>
      <c r="E3483" s="2" t="str">
        <f>"2170755630"</f>
        <v>2170755630</v>
      </c>
      <c r="F3483" s="2" t="s">
        <v>17</v>
      </c>
      <c r="G3483" s="2" t="s">
        <v>18</v>
      </c>
      <c r="H3483" s="2" t="s">
        <v>36</v>
      </c>
      <c r="I3483" s="2" t="s">
        <v>37</v>
      </c>
      <c r="J3483" s="2" t="s">
        <v>378</v>
      </c>
      <c r="K3483" s="2" t="s">
        <v>2282</v>
      </c>
      <c r="L3483" s="3">
        <v>0.34375</v>
      </c>
      <c r="M3483" s="2" t="s">
        <v>2100</v>
      </c>
      <c r="N3483" s="2" t="s">
        <v>500</v>
      </c>
      <c r="O3483" s="2"/>
    </row>
    <row r="3484" spans="1:15" x14ac:dyDescent="0.25">
      <c r="A3484" s="2" t="s">
        <v>15</v>
      </c>
      <c r="B3484" s="2" t="str">
        <f>"FES1162772013"</f>
        <v>FES1162772013</v>
      </c>
      <c r="C3484" s="2" t="s">
        <v>2197</v>
      </c>
      <c r="D3484" s="2">
        <v>1</v>
      </c>
      <c r="E3484" s="2" t="str">
        <f>"2170757081"</f>
        <v>2170757081</v>
      </c>
      <c r="F3484" s="2" t="s">
        <v>17</v>
      </c>
      <c r="G3484" s="2" t="s">
        <v>18</v>
      </c>
      <c r="H3484" s="2" t="s">
        <v>36</v>
      </c>
      <c r="I3484" s="2" t="s">
        <v>496</v>
      </c>
      <c r="J3484" s="2" t="s">
        <v>497</v>
      </c>
      <c r="K3484" s="2" t="s">
        <v>2356</v>
      </c>
      <c r="L3484" s="3">
        <v>0.64861111111111114</v>
      </c>
      <c r="M3484" s="2" t="s">
        <v>726</v>
      </c>
      <c r="N3484" s="2" t="s">
        <v>500</v>
      </c>
      <c r="O3484" s="2"/>
    </row>
    <row r="3485" spans="1:15" x14ac:dyDescent="0.25">
      <c r="A3485" s="2" t="s">
        <v>15</v>
      </c>
      <c r="B3485" s="2" t="str">
        <f>"FES1162771976"</f>
        <v>FES1162771976</v>
      </c>
      <c r="C3485" s="2" t="s">
        <v>2197</v>
      </c>
      <c r="D3485" s="2">
        <v>1</v>
      </c>
      <c r="E3485" s="2" t="str">
        <f>"2170758982"</f>
        <v>2170758982</v>
      </c>
      <c r="F3485" s="2" t="s">
        <v>17</v>
      </c>
      <c r="G3485" s="2" t="s">
        <v>18</v>
      </c>
      <c r="H3485" s="2" t="s">
        <v>25</v>
      </c>
      <c r="I3485" s="2" t="s">
        <v>26</v>
      </c>
      <c r="J3485" s="2" t="s">
        <v>2212</v>
      </c>
      <c r="K3485" s="2" t="s">
        <v>2282</v>
      </c>
      <c r="L3485" s="3">
        <v>0.54166666666666663</v>
      </c>
      <c r="M3485" s="2" t="s">
        <v>2338</v>
      </c>
      <c r="N3485" s="2" t="s">
        <v>500</v>
      </c>
      <c r="O3485" s="2"/>
    </row>
    <row r="3486" spans="1:15" x14ac:dyDescent="0.25">
      <c r="A3486" s="2" t="s">
        <v>15</v>
      </c>
      <c r="B3486" s="2" t="str">
        <f>"FES1162772016"</f>
        <v>FES1162772016</v>
      </c>
      <c r="C3486" s="2" t="s">
        <v>2197</v>
      </c>
      <c r="D3486" s="2">
        <v>1</v>
      </c>
      <c r="E3486" s="2" t="str">
        <f>"2170758601"</f>
        <v>2170758601</v>
      </c>
      <c r="F3486" s="2" t="s">
        <v>17</v>
      </c>
      <c r="G3486" s="2" t="s">
        <v>18</v>
      </c>
      <c r="H3486" s="2" t="s">
        <v>33</v>
      </c>
      <c r="I3486" s="2" t="s">
        <v>34</v>
      </c>
      <c r="J3486" s="2" t="s">
        <v>2300</v>
      </c>
      <c r="K3486" s="2" t="s">
        <v>2282</v>
      </c>
      <c r="L3486" s="3">
        <v>0.43333333333333335</v>
      </c>
      <c r="M3486" s="2" t="s">
        <v>986</v>
      </c>
      <c r="N3486" s="2" t="s">
        <v>500</v>
      </c>
      <c r="O3486" s="2"/>
    </row>
    <row r="3487" spans="1:15" x14ac:dyDescent="0.25">
      <c r="A3487" s="2" t="s">
        <v>15</v>
      </c>
      <c r="B3487" s="2" t="str">
        <f>"FES1162772018"</f>
        <v>FES1162772018</v>
      </c>
      <c r="C3487" s="2" t="s">
        <v>2197</v>
      </c>
      <c r="D3487" s="2">
        <v>1</v>
      </c>
      <c r="E3487" s="2" t="str">
        <f>"2170758902"</f>
        <v>2170758902</v>
      </c>
      <c r="F3487" s="2" t="s">
        <v>17</v>
      </c>
      <c r="G3487" s="2" t="s">
        <v>18</v>
      </c>
      <c r="H3487" s="2" t="s">
        <v>36</v>
      </c>
      <c r="I3487" s="2" t="s">
        <v>134</v>
      </c>
      <c r="J3487" s="2" t="s">
        <v>135</v>
      </c>
      <c r="K3487" s="2" t="s">
        <v>2282</v>
      </c>
      <c r="L3487" s="3">
        <v>0.625</v>
      </c>
      <c r="M3487" s="2" t="s">
        <v>2339</v>
      </c>
      <c r="N3487" s="2" t="s">
        <v>500</v>
      </c>
      <c r="O3487" s="2"/>
    </row>
    <row r="3488" spans="1:15" x14ac:dyDescent="0.25">
      <c r="A3488" s="2" t="s">
        <v>15</v>
      </c>
      <c r="B3488" s="2" t="str">
        <f>"FES1162772012"</f>
        <v>FES1162772012</v>
      </c>
      <c r="C3488" s="2" t="s">
        <v>2197</v>
      </c>
      <c r="D3488" s="2">
        <v>1</v>
      </c>
      <c r="E3488" s="2" t="str">
        <f>"2170756451"</f>
        <v>2170756451</v>
      </c>
      <c r="F3488" s="2" t="s">
        <v>17</v>
      </c>
      <c r="G3488" s="2" t="s">
        <v>18</v>
      </c>
      <c r="H3488" s="2" t="s">
        <v>18</v>
      </c>
      <c r="I3488" s="2" t="s">
        <v>57</v>
      </c>
      <c r="J3488" s="2" t="s">
        <v>903</v>
      </c>
      <c r="K3488" s="2" t="s">
        <v>2282</v>
      </c>
      <c r="L3488" s="3">
        <v>0.41666666666666669</v>
      </c>
      <c r="M3488" s="2" t="s">
        <v>1842</v>
      </c>
      <c r="N3488" s="2" t="s">
        <v>500</v>
      </c>
      <c r="O3488" s="2"/>
    </row>
    <row r="3489" spans="1:15" x14ac:dyDescent="0.25">
      <c r="A3489" s="2" t="s">
        <v>15</v>
      </c>
      <c r="B3489" s="2" t="str">
        <f>"FES1162772020"</f>
        <v>FES1162772020</v>
      </c>
      <c r="C3489" s="2" t="s">
        <v>2197</v>
      </c>
      <c r="D3489" s="2">
        <v>1</v>
      </c>
      <c r="E3489" s="2" t="str">
        <f>"2170759015"</f>
        <v>2170759015</v>
      </c>
      <c r="F3489" s="2" t="s">
        <v>17</v>
      </c>
      <c r="G3489" s="2" t="s">
        <v>18</v>
      </c>
      <c r="H3489" s="2" t="s">
        <v>25</v>
      </c>
      <c r="I3489" s="2" t="s">
        <v>26</v>
      </c>
      <c r="J3489" s="2" t="s">
        <v>27</v>
      </c>
      <c r="K3489" s="2" t="s">
        <v>2282</v>
      </c>
      <c r="L3489" s="3">
        <v>0.39305555555555555</v>
      </c>
      <c r="M3489" s="2" t="s">
        <v>521</v>
      </c>
      <c r="N3489" s="2" t="s">
        <v>500</v>
      </c>
      <c r="O3489" s="2"/>
    </row>
    <row r="3490" spans="1:15" x14ac:dyDescent="0.25">
      <c r="A3490" s="2" t="s">
        <v>15</v>
      </c>
      <c r="B3490" s="2" t="str">
        <f>"FES1162771989"</f>
        <v>FES1162771989</v>
      </c>
      <c r="C3490" s="2" t="s">
        <v>2197</v>
      </c>
      <c r="D3490" s="2">
        <v>1</v>
      </c>
      <c r="E3490" s="2" t="str">
        <f>"2170758996"</f>
        <v>2170758996</v>
      </c>
      <c r="F3490" s="2" t="s">
        <v>17</v>
      </c>
      <c r="G3490" s="2" t="s">
        <v>18</v>
      </c>
      <c r="H3490" s="2" t="s">
        <v>25</v>
      </c>
      <c r="I3490" s="2" t="s">
        <v>26</v>
      </c>
      <c r="J3490" s="2" t="s">
        <v>1020</v>
      </c>
      <c r="K3490" s="2" t="s">
        <v>2282</v>
      </c>
      <c r="L3490" s="3">
        <v>0.37986111111111115</v>
      </c>
      <c r="M3490" s="2" t="s">
        <v>1334</v>
      </c>
      <c r="N3490" s="2" t="s">
        <v>500</v>
      </c>
      <c r="O3490" s="2"/>
    </row>
    <row r="3491" spans="1:15" x14ac:dyDescent="0.25">
      <c r="A3491" s="2" t="s">
        <v>15</v>
      </c>
      <c r="B3491" s="2" t="str">
        <f>"FES1162772043"</f>
        <v>FES1162772043</v>
      </c>
      <c r="C3491" s="2" t="s">
        <v>2197</v>
      </c>
      <c r="D3491" s="2">
        <v>1</v>
      </c>
      <c r="E3491" s="2" t="str">
        <f>"2170759036"</f>
        <v>2170759036</v>
      </c>
      <c r="F3491" s="2" t="s">
        <v>17</v>
      </c>
      <c r="G3491" s="2" t="s">
        <v>18</v>
      </c>
      <c r="H3491" s="2" t="s">
        <v>78</v>
      </c>
      <c r="I3491" s="2" t="s">
        <v>79</v>
      </c>
      <c r="J3491" s="2" t="s">
        <v>80</v>
      </c>
      <c r="K3491" s="2" t="s">
        <v>2282</v>
      </c>
      <c r="L3491" s="3">
        <v>0.39097222222222222</v>
      </c>
      <c r="M3491" s="2" t="s">
        <v>199</v>
      </c>
      <c r="N3491" s="2" t="s">
        <v>500</v>
      </c>
      <c r="O3491" s="2"/>
    </row>
    <row r="3492" spans="1:15" x14ac:dyDescent="0.25">
      <c r="A3492" s="2" t="s">
        <v>15</v>
      </c>
      <c r="B3492" s="2" t="str">
        <f>"FES1162772007"</f>
        <v>FES1162772007</v>
      </c>
      <c r="C3492" s="2" t="s">
        <v>2197</v>
      </c>
      <c r="D3492" s="2">
        <v>2</v>
      </c>
      <c r="E3492" s="2" t="str">
        <f>"2170753485"</f>
        <v>2170753485</v>
      </c>
      <c r="F3492" s="2" t="s">
        <v>17</v>
      </c>
      <c r="G3492" s="2" t="s">
        <v>18</v>
      </c>
      <c r="H3492" s="2" t="s">
        <v>18</v>
      </c>
      <c r="I3492" s="2" t="s">
        <v>57</v>
      </c>
      <c r="J3492" s="2" t="s">
        <v>910</v>
      </c>
      <c r="K3492" s="2" t="s">
        <v>2282</v>
      </c>
      <c r="L3492" s="3">
        <v>0.33124999999999999</v>
      </c>
      <c r="M3492" s="2" t="s">
        <v>2301</v>
      </c>
      <c r="N3492" s="2" t="s">
        <v>500</v>
      </c>
      <c r="O3492" s="2"/>
    </row>
    <row r="3493" spans="1:15" x14ac:dyDescent="0.25">
      <c r="A3493" s="2" t="s">
        <v>15</v>
      </c>
      <c r="B3493" s="2" t="str">
        <f>"FES1162771977"</f>
        <v>FES1162771977</v>
      </c>
      <c r="C3493" s="2" t="s">
        <v>2197</v>
      </c>
      <c r="D3493" s="2">
        <v>1</v>
      </c>
      <c r="E3493" s="2" t="str">
        <f>"2170758984"</f>
        <v>2170758984</v>
      </c>
      <c r="F3493" s="2" t="s">
        <v>17</v>
      </c>
      <c r="G3493" s="2" t="s">
        <v>18</v>
      </c>
      <c r="H3493" s="2" t="s">
        <v>25</v>
      </c>
      <c r="I3493" s="2" t="s">
        <v>345</v>
      </c>
      <c r="J3493" s="2" t="s">
        <v>412</v>
      </c>
      <c r="K3493" s="2" t="s">
        <v>2356</v>
      </c>
      <c r="L3493" s="3">
        <v>0.34583333333333338</v>
      </c>
      <c r="M3493" s="2" t="s">
        <v>1052</v>
      </c>
      <c r="N3493" s="2" t="s">
        <v>500</v>
      </c>
      <c r="O3493" s="2"/>
    </row>
    <row r="3494" spans="1:15" x14ac:dyDescent="0.25">
      <c r="A3494" s="2" t="s">
        <v>15</v>
      </c>
      <c r="B3494" s="2" t="str">
        <f>"FES1162771971"</f>
        <v>FES1162771971</v>
      </c>
      <c r="C3494" s="2" t="s">
        <v>2197</v>
      </c>
      <c r="D3494" s="2">
        <v>1</v>
      </c>
      <c r="E3494" s="2" t="str">
        <f>"2170758977"</f>
        <v>2170758977</v>
      </c>
      <c r="F3494" s="2" t="s">
        <v>17</v>
      </c>
      <c r="G3494" s="2" t="s">
        <v>18</v>
      </c>
      <c r="H3494" s="2" t="s">
        <v>19</v>
      </c>
      <c r="I3494" s="2" t="s">
        <v>20</v>
      </c>
      <c r="J3494" s="2" t="s">
        <v>327</v>
      </c>
      <c r="K3494" s="2" t="s">
        <v>2282</v>
      </c>
      <c r="L3494" s="3">
        <v>0.33124999999999999</v>
      </c>
      <c r="M3494" s="2" t="s">
        <v>2302</v>
      </c>
      <c r="N3494" s="2" t="s">
        <v>500</v>
      </c>
      <c r="O3494" s="2"/>
    </row>
    <row r="3495" spans="1:15" x14ac:dyDescent="0.25">
      <c r="A3495" s="2" t="s">
        <v>15</v>
      </c>
      <c r="B3495" s="2" t="str">
        <f>"FES1162771968"</f>
        <v>FES1162771968</v>
      </c>
      <c r="C3495" s="2" t="s">
        <v>2197</v>
      </c>
      <c r="D3495" s="2">
        <v>1</v>
      </c>
      <c r="E3495" s="2" t="str">
        <f>"2170758975"</f>
        <v>2170758975</v>
      </c>
      <c r="F3495" s="2" t="s">
        <v>17</v>
      </c>
      <c r="G3495" s="2" t="s">
        <v>18</v>
      </c>
      <c r="H3495" s="2" t="s">
        <v>19</v>
      </c>
      <c r="I3495" s="2" t="s">
        <v>20</v>
      </c>
      <c r="J3495" s="2" t="s">
        <v>123</v>
      </c>
      <c r="K3495" s="2" t="s">
        <v>2282</v>
      </c>
      <c r="L3495" s="3">
        <v>0.37361111111111112</v>
      </c>
      <c r="M3495" s="2" t="s">
        <v>233</v>
      </c>
      <c r="N3495" s="2" t="s">
        <v>500</v>
      </c>
      <c r="O3495" s="2"/>
    </row>
    <row r="3496" spans="1:15" x14ac:dyDescent="0.25">
      <c r="A3496" s="2" t="s">
        <v>15</v>
      </c>
      <c r="B3496" s="2" t="str">
        <f>"FES1162771938"</f>
        <v>FES1162771938</v>
      </c>
      <c r="C3496" s="2" t="s">
        <v>2197</v>
      </c>
      <c r="D3496" s="2">
        <v>1</v>
      </c>
      <c r="E3496" s="2" t="str">
        <f>"2170758947"</f>
        <v>2170758947</v>
      </c>
      <c r="F3496" s="2" t="s">
        <v>2443</v>
      </c>
      <c r="G3496" s="2" t="s">
        <v>206</v>
      </c>
      <c r="H3496" s="2" t="s">
        <v>206</v>
      </c>
      <c r="I3496" s="2" t="s">
        <v>52</v>
      </c>
      <c r="J3496" s="2" t="s">
        <v>776</v>
      </c>
      <c r="K3496" s="2" t="s">
        <v>2282</v>
      </c>
      <c r="L3496" s="3">
        <v>0.4375</v>
      </c>
      <c r="M3496" s="2" t="s">
        <v>2010</v>
      </c>
      <c r="N3496" s="2" t="s">
        <v>500</v>
      </c>
      <c r="O3496" s="2"/>
    </row>
    <row r="3497" spans="1:15" x14ac:dyDescent="0.25">
      <c r="A3497" s="2" t="s">
        <v>15</v>
      </c>
      <c r="B3497" s="2" t="str">
        <f>"FES1162772028"</f>
        <v>FES1162772028</v>
      </c>
      <c r="C3497" s="2" t="s">
        <v>2197</v>
      </c>
      <c r="D3497" s="2">
        <v>1</v>
      </c>
      <c r="E3497" s="2" t="str">
        <f>"2170759023"</f>
        <v>2170759023</v>
      </c>
      <c r="F3497" s="2" t="s">
        <v>17</v>
      </c>
      <c r="G3497" s="2" t="s">
        <v>18</v>
      </c>
      <c r="H3497" s="2" t="s">
        <v>25</v>
      </c>
      <c r="I3497" s="2" t="s">
        <v>125</v>
      </c>
      <c r="J3497" s="2" t="s">
        <v>126</v>
      </c>
      <c r="K3497" s="2" t="s">
        <v>2282</v>
      </c>
      <c r="L3497" s="3">
        <v>0.48749999999999999</v>
      </c>
      <c r="M3497" s="2" t="s">
        <v>235</v>
      </c>
      <c r="N3497" s="2" t="s">
        <v>500</v>
      </c>
      <c r="O3497" s="2"/>
    </row>
    <row r="3498" spans="1:15" x14ac:dyDescent="0.25">
      <c r="A3498" s="2" t="s">
        <v>15</v>
      </c>
      <c r="B3498" s="2" t="str">
        <f>"FES1162771974"</f>
        <v>FES1162771974</v>
      </c>
      <c r="C3498" s="2" t="s">
        <v>2197</v>
      </c>
      <c r="D3498" s="2">
        <v>1</v>
      </c>
      <c r="E3498" s="2" t="str">
        <f>"2170758981"</f>
        <v>2170758981</v>
      </c>
      <c r="F3498" s="2" t="s">
        <v>17</v>
      </c>
      <c r="G3498" s="2" t="s">
        <v>18</v>
      </c>
      <c r="H3498" s="2" t="s">
        <v>18</v>
      </c>
      <c r="I3498" s="2" t="s">
        <v>63</v>
      </c>
      <c r="J3498" s="2" t="s">
        <v>93</v>
      </c>
      <c r="K3498" s="2" t="s">
        <v>2282</v>
      </c>
      <c r="L3498" s="3">
        <v>0.35347222222222219</v>
      </c>
      <c r="M3498" s="2" t="s">
        <v>736</v>
      </c>
      <c r="N3498" s="2" t="s">
        <v>500</v>
      </c>
      <c r="O3498" s="2"/>
    </row>
    <row r="3499" spans="1:15" x14ac:dyDescent="0.25">
      <c r="A3499" s="2" t="s">
        <v>15</v>
      </c>
      <c r="B3499" s="2" t="str">
        <f>"FES1162772049"</f>
        <v>FES1162772049</v>
      </c>
      <c r="C3499" s="2" t="s">
        <v>2197</v>
      </c>
      <c r="D3499" s="2">
        <v>1</v>
      </c>
      <c r="E3499" s="2" t="str">
        <f>"2170759044"</f>
        <v>2170759044</v>
      </c>
      <c r="F3499" s="2" t="s">
        <v>17</v>
      </c>
      <c r="G3499" s="2" t="s">
        <v>18</v>
      </c>
      <c r="H3499" s="2" t="s">
        <v>18</v>
      </c>
      <c r="I3499" s="2" t="s">
        <v>57</v>
      </c>
      <c r="J3499" s="2" t="s">
        <v>903</v>
      </c>
      <c r="K3499" s="2" t="s">
        <v>2282</v>
      </c>
      <c r="L3499" s="3">
        <v>0.41666666666666669</v>
      </c>
      <c r="M3499" s="2" t="s">
        <v>1842</v>
      </c>
      <c r="N3499" s="2" t="s">
        <v>500</v>
      </c>
      <c r="O3499" s="2"/>
    </row>
    <row r="3500" spans="1:15" x14ac:dyDescent="0.25">
      <c r="A3500" s="2" t="s">
        <v>15</v>
      </c>
      <c r="B3500" s="2" t="str">
        <f>"FES1162772030"</f>
        <v>FES1162772030</v>
      </c>
      <c r="C3500" s="2" t="s">
        <v>2197</v>
      </c>
      <c r="D3500" s="2">
        <v>1</v>
      </c>
      <c r="E3500" s="2" t="str">
        <f>"2170759025"</f>
        <v>2170759025</v>
      </c>
      <c r="F3500" s="2" t="s">
        <v>17</v>
      </c>
      <c r="G3500" s="2" t="s">
        <v>18</v>
      </c>
      <c r="H3500" s="2" t="s">
        <v>18</v>
      </c>
      <c r="I3500" s="2" t="s">
        <v>46</v>
      </c>
      <c r="J3500" s="2" t="s">
        <v>470</v>
      </c>
      <c r="K3500" s="2" t="s">
        <v>2282</v>
      </c>
      <c r="L3500" s="3">
        <v>0.33333333333333331</v>
      </c>
      <c r="M3500" s="2" t="s">
        <v>471</v>
      </c>
      <c r="N3500" s="2" t="s">
        <v>500</v>
      </c>
      <c r="O3500" s="2"/>
    </row>
    <row r="3501" spans="1:15" x14ac:dyDescent="0.25">
      <c r="A3501" s="2" t="s">
        <v>15</v>
      </c>
      <c r="B3501" s="2" t="str">
        <f>"FES1162772026"</f>
        <v>FES1162772026</v>
      </c>
      <c r="C3501" s="2" t="s">
        <v>2197</v>
      </c>
      <c r="D3501" s="2">
        <v>1</v>
      </c>
      <c r="E3501" s="2" t="str">
        <f>"2170759021"</f>
        <v>2170759021</v>
      </c>
      <c r="F3501" s="2" t="s">
        <v>17</v>
      </c>
      <c r="G3501" s="2" t="s">
        <v>18</v>
      </c>
      <c r="H3501" s="2" t="s">
        <v>78</v>
      </c>
      <c r="I3501" s="2" t="s">
        <v>159</v>
      </c>
      <c r="J3501" s="2" t="s">
        <v>402</v>
      </c>
      <c r="K3501" s="2" t="s">
        <v>2282</v>
      </c>
      <c r="L3501" s="3">
        <v>0.43888888888888888</v>
      </c>
      <c r="M3501" s="2" t="s">
        <v>729</v>
      </c>
      <c r="N3501" s="2" t="s">
        <v>500</v>
      </c>
      <c r="O3501" s="2"/>
    </row>
    <row r="3502" spans="1:15" x14ac:dyDescent="0.25">
      <c r="A3502" s="2" t="s">
        <v>15</v>
      </c>
      <c r="B3502" s="2" t="str">
        <f>"FES1162772033"</f>
        <v>FES1162772033</v>
      </c>
      <c r="C3502" s="2" t="s">
        <v>2197</v>
      </c>
      <c r="D3502" s="2">
        <v>1</v>
      </c>
      <c r="E3502" s="2" t="str">
        <f>"2170757080"</f>
        <v>2170757080</v>
      </c>
      <c r="F3502" s="2" t="s">
        <v>17</v>
      </c>
      <c r="G3502" s="2" t="s">
        <v>18</v>
      </c>
      <c r="H3502" s="2" t="s">
        <v>25</v>
      </c>
      <c r="I3502" s="2" t="s">
        <v>42</v>
      </c>
      <c r="J3502" s="2" t="s">
        <v>43</v>
      </c>
      <c r="K3502" s="2" t="s">
        <v>2282</v>
      </c>
      <c r="L3502" s="3">
        <v>0.53055555555555556</v>
      </c>
      <c r="M3502" s="2" t="s">
        <v>180</v>
      </c>
      <c r="N3502" s="2" t="s">
        <v>500</v>
      </c>
      <c r="O3502" s="2"/>
    </row>
    <row r="3503" spans="1:15" x14ac:dyDescent="0.25">
      <c r="A3503" s="2" t="s">
        <v>15</v>
      </c>
      <c r="B3503" s="2" t="str">
        <f>"FES1162772025"</f>
        <v>FES1162772025</v>
      </c>
      <c r="C3503" s="2" t="s">
        <v>2197</v>
      </c>
      <c r="D3503" s="2">
        <v>1</v>
      </c>
      <c r="E3503" s="2" t="str">
        <f>"2170759020"</f>
        <v>2170759020</v>
      </c>
      <c r="F3503" s="2" t="s">
        <v>17</v>
      </c>
      <c r="G3503" s="2" t="s">
        <v>18</v>
      </c>
      <c r="H3503" s="2" t="s">
        <v>25</v>
      </c>
      <c r="I3503" s="2" t="s">
        <v>39</v>
      </c>
      <c r="J3503" s="2" t="s">
        <v>40</v>
      </c>
      <c r="K3503" s="2" t="s">
        <v>2282</v>
      </c>
      <c r="L3503" s="3">
        <v>0.57847222222222217</v>
      </c>
      <c r="M3503" s="2" t="s">
        <v>178</v>
      </c>
      <c r="N3503" s="2" t="s">
        <v>500</v>
      </c>
      <c r="O3503" s="2"/>
    </row>
    <row r="3504" spans="1:15" x14ac:dyDescent="0.25">
      <c r="A3504" s="2" t="s">
        <v>15</v>
      </c>
      <c r="B3504" s="2" t="str">
        <f>"FES1162772015"</f>
        <v>FES1162772015</v>
      </c>
      <c r="C3504" s="2" t="s">
        <v>2197</v>
      </c>
      <c r="D3504" s="2">
        <v>1</v>
      </c>
      <c r="E3504" s="2" t="str">
        <f>"2170757840"</f>
        <v>2170757840</v>
      </c>
      <c r="F3504" s="2" t="s">
        <v>17</v>
      </c>
      <c r="G3504" s="2" t="s">
        <v>18</v>
      </c>
      <c r="H3504" s="2" t="s">
        <v>18</v>
      </c>
      <c r="I3504" s="2" t="s">
        <v>329</v>
      </c>
      <c r="J3504" s="2" t="s">
        <v>1763</v>
      </c>
      <c r="K3504" s="2" t="s">
        <v>2282</v>
      </c>
      <c r="L3504" s="3">
        <v>0.43055555555555558</v>
      </c>
      <c r="M3504" s="2" t="s">
        <v>2340</v>
      </c>
      <c r="N3504" s="2" t="s">
        <v>500</v>
      </c>
      <c r="O3504" s="2"/>
    </row>
    <row r="3505" spans="1:15" x14ac:dyDescent="0.25">
      <c r="A3505" s="2" t="s">
        <v>15</v>
      </c>
      <c r="B3505" s="2" t="str">
        <f>"FES1162772048"</f>
        <v>FES1162772048</v>
      </c>
      <c r="C3505" s="2" t="s">
        <v>2197</v>
      </c>
      <c r="D3505" s="2">
        <v>1</v>
      </c>
      <c r="E3505" s="2" t="str">
        <f>"2170759043"</f>
        <v>2170759043</v>
      </c>
      <c r="F3505" s="2" t="s">
        <v>17</v>
      </c>
      <c r="G3505" s="2" t="s">
        <v>18</v>
      </c>
      <c r="H3505" s="2" t="s">
        <v>18</v>
      </c>
      <c r="I3505" s="2" t="s">
        <v>50</v>
      </c>
      <c r="J3505" s="2" t="s">
        <v>2303</v>
      </c>
      <c r="K3505" s="2" t="s">
        <v>2282</v>
      </c>
      <c r="L3505" s="3">
        <v>0.41666666666666669</v>
      </c>
      <c r="M3505" s="2" t="s">
        <v>2341</v>
      </c>
      <c r="N3505" s="2" t="s">
        <v>500</v>
      </c>
      <c r="O3505" s="2"/>
    </row>
    <row r="3506" spans="1:15" x14ac:dyDescent="0.25">
      <c r="A3506" s="2" t="s">
        <v>15</v>
      </c>
      <c r="B3506" s="2" t="str">
        <f>"FES1162772047"</f>
        <v>FES1162772047</v>
      </c>
      <c r="C3506" s="2" t="s">
        <v>2197</v>
      </c>
      <c r="D3506" s="2">
        <v>1</v>
      </c>
      <c r="E3506" s="2" t="str">
        <f>"2170759045"</f>
        <v>2170759045</v>
      </c>
      <c r="F3506" s="2" t="s">
        <v>17</v>
      </c>
      <c r="G3506" s="2" t="s">
        <v>18</v>
      </c>
      <c r="H3506" s="2" t="s">
        <v>18</v>
      </c>
      <c r="I3506" s="2" t="s">
        <v>65</v>
      </c>
      <c r="J3506" s="2" t="s">
        <v>2304</v>
      </c>
      <c r="K3506" s="2" t="s">
        <v>2356</v>
      </c>
      <c r="L3506" s="3">
        <v>0.38194444444444442</v>
      </c>
      <c r="M3506" s="2" t="s">
        <v>2450</v>
      </c>
      <c r="N3506" s="2" t="s">
        <v>500</v>
      </c>
      <c r="O3506" s="2"/>
    </row>
    <row r="3507" spans="1:15" x14ac:dyDescent="0.25">
      <c r="A3507" s="2" t="s">
        <v>15</v>
      </c>
      <c r="B3507" s="2" t="str">
        <f>"FES1162772042"</f>
        <v>FES1162772042</v>
      </c>
      <c r="C3507" s="2" t="s">
        <v>2197</v>
      </c>
      <c r="D3507" s="2">
        <v>1</v>
      </c>
      <c r="E3507" s="2" t="str">
        <f>"2170759035"</f>
        <v>2170759035</v>
      </c>
      <c r="F3507" s="2" t="s">
        <v>17</v>
      </c>
      <c r="G3507" s="2" t="s">
        <v>18</v>
      </c>
      <c r="H3507" s="2" t="s">
        <v>1433</v>
      </c>
      <c r="I3507" s="2" t="s">
        <v>1434</v>
      </c>
      <c r="J3507" s="2" t="s">
        <v>2305</v>
      </c>
      <c r="K3507" s="2" t="s">
        <v>2282</v>
      </c>
      <c r="L3507" s="3">
        <v>0.43055555555555558</v>
      </c>
      <c r="M3507" s="2" t="s">
        <v>2342</v>
      </c>
      <c r="N3507" s="2" t="s">
        <v>500</v>
      </c>
      <c r="O3507" s="2"/>
    </row>
    <row r="3508" spans="1:15" x14ac:dyDescent="0.25">
      <c r="A3508" s="2" t="s">
        <v>15</v>
      </c>
      <c r="B3508" s="2" t="str">
        <f>"FES1162771958"</f>
        <v>FES1162771958</v>
      </c>
      <c r="C3508" s="2" t="s">
        <v>2197</v>
      </c>
      <c r="D3508" s="2">
        <v>1</v>
      </c>
      <c r="E3508" s="2" t="str">
        <f>"2170758940"</f>
        <v>2170758940</v>
      </c>
      <c r="F3508" s="2" t="s">
        <v>480</v>
      </c>
      <c r="G3508" s="2" t="s">
        <v>206</v>
      </c>
      <c r="H3508" s="2" t="s">
        <v>206</v>
      </c>
      <c r="I3508" s="2" t="s">
        <v>157</v>
      </c>
      <c r="J3508" s="2" t="s">
        <v>347</v>
      </c>
      <c r="K3508" s="2" t="s">
        <v>2282</v>
      </c>
      <c r="L3508" s="3">
        <v>0.41111111111111115</v>
      </c>
      <c r="M3508" s="2" t="s">
        <v>2343</v>
      </c>
      <c r="N3508" s="2" t="s">
        <v>500</v>
      </c>
      <c r="O3508" s="2"/>
    </row>
    <row r="3509" spans="1:15" x14ac:dyDescent="0.25">
      <c r="A3509" s="2" t="s">
        <v>15</v>
      </c>
      <c r="B3509" s="2" t="str">
        <f>"FES1162771957"</f>
        <v>FES1162771957</v>
      </c>
      <c r="C3509" s="2" t="s">
        <v>2197</v>
      </c>
      <c r="D3509" s="2">
        <v>2</v>
      </c>
      <c r="E3509" s="2" t="str">
        <f>"2170758810"</f>
        <v>2170758810</v>
      </c>
      <c r="F3509" s="2" t="s">
        <v>17</v>
      </c>
      <c r="G3509" s="2" t="s">
        <v>18</v>
      </c>
      <c r="H3509" s="2" t="s">
        <v>18</v>
      </c>
      <c r="I3509" s="2" t="s">
        <v>46</v>
      </c>
      <c r="J3509" s="2" t="s">
        <v>2055</v>
      </c>
      <c r="K3509" s="2" t="s">
        <v>2282</v>
      </c>
      <c r="L3509" s="3">
        <v>0.40972222222222227</v>
      </c>
      <c r="M3509" s="2" t="s">
        <v>2344</v>
      </c>
      <c r="N3509" s="2" t="s">
        <v>500</v>
      </c>
      <c r="O3509" s="2"/>
    </row>
    <row r="3510" spans="1:15" x14ac:dyDescent="0.25">
      <c r="A3510" s="2" t="s">
        <v>15</v>
      </c>
      <c r="B3510" s="2" t="str">
        <f>"FES1162772052"</f>
        <v>FES1162772052</v>
      </c>
      <c r="C3510" s="2" t="s">
        <v>2197</v>
      </c>
      <c r="D3510" s="2">
        <v>1</v>
      </c>
      <c r="E3510" s="2" t="str">
        <f>"2170759054"</f>
        <v>2170759054</v>
      </c>
      <c r="F3510" s="2" t="s">
        <v>17</v>
      </c>
      <c r="G3510" s="2" t="s">
        <v>18</v>
      </c>
      <c r="H3510" s="2" t="s">
        <v>18</v>
      </c>
      <c r="I3510" s="2" t="s">
        <v>57</v>
      </c>
      <c r="J3510" s="2" t="s">
        <v>903</v>
      </c>
      <c r="K3510" s="2" t="s">
        <v>2282</v>
      </c>
      <c r="L3510" s="3">
        <v>0.41666666666666669</v>
      </c>
      <c r="M3510" s="2" t="s">
        <v>1842</v>
      </c>
      <c r="N3510" s="2" t="s">
        <v>500</v>
      </c>
      <c r="O3510" s="2"/>
    </row>
    <row r="3511" spans="1:15" x14ac:dyDescent="0.25">
      <c r="A3511" s="2" t="s">
        <v>15</v>
      </c>
      <c r="B3511" s="2" t="str">
        <f>"FES1162772034"</f>
        <v>FES1162772034</v>
      </c>
      <c r="C3511" s="2" t="s">
        <v>2197</v>
      </c>
      <c r="D3511" s="2">
        <v>1</v>
      </c>
      <c r="E3511" s="2" t="str">
        <f>"2170757037"</f>
        <v>2170757037</v>
      </c>
      <c r="F3511" s="2" t="s">
        <v>17</v>
      </c>
      <c r="G3511" s="2" t="s">
        <v>18</v>
      </c>
      <c r="H3511" s="2" t="s">
        <v>25</v>
      </c>
      <c r="I3511" s="2" t="s">
        <v>26</v>
      </c>
      <c r="J3511" s="2" t="s">
        <v>1443</v>
      </c>
      <c r="K3511" s="2" t="s">
        <v>2282</v>
      </c>
      <c r="L3511" s="3">
        <v>0.35000000000000003</v>
      </c>
      <c r="M3511" s="2" t="s">
        <v>1397</v>
      </c>
      <c r="N3511" s="2" t="s">
        <v>500</v>
      </c>
      <c r="O3511" s="2"/>
    </row>
    <row r="3512" spans="1:15" x14ac:dyDescent="0.25">
      <c r="A3512" s="2" t="s">
        <v>15</v>
      </c>
      <c r="B3512" s="2" t="str">
        <f>"FES1162772035"</f>
        <v>FES1162772035</v>
      </c>
      <c r="C3512" s="2" t="s">
        <v>2197</v>
      </c>
      <c r="D3512" s="2">
        <v>1</v>
      </c>
      <c r="E3512" s="2" t="str">
        <f>"2170755631"</f>
        <v>2170755631</v>
      </c>
      <c r="F3512" s="2" t="s">
        <v>17</v>
      </c>
      <c r="G3512" s="2" t="s">
        <v>18</v>
      </c>
      <c r="H3512" s="2" t="s">
        <v>36</v>
      </c>
      <c r="I3512" s="2" t="s">
        <v>37</v>
      </c>
      <c r="J3512" s="2" t="s">
        <v>378</v>
      </c>
      <c r="K3512" s="2" t="s">
        <v>2282</v>
      </c>
      <c r="L3512" s="3">
        <v>0.34722222222222227</v>
      </c>
      <c r="M3512" s="2" t="s">
        <v>2345</v>
      </c>
      <c r="N3512" s="2" t="s">
        <v>500</v>
      </c>
      <c r="O3512" s="2"/>
    </row>
    <row r="3513" spans="1:15" x14ac:dyDescent="0.25">
      <c r="A3513" s="2" t="s">
        <v>15</v>
      </c>
      <c r="B3513" s="2" t="str">
        <f>"FES1162772038"</f>
        <v>FES1162772038</v>
      </c>
      <c r="C3513" s="2" t="s">
        <v>2197</v>
      </c>
      <c r="D3513" s="2">
        <v>1</v>
      </c>
      <c r="E3513" s="2" t="str">
        <f>"2170759028"</f>
        <v>2170759028</v>
      </c>
      <c r="F3513" s="2" t="s">
        <v>17</v>
      </c>
      <c r="G3513" s="2" t="s">
        <v>18</v>
      </c>
      <c r="H3513" s="2" t="s">
        <v>33</v>
      </c>
      <c r="I3513" s="2" t="s">
        <v>34</v>
      </c>
      <c r="J3513" s="2" t="s">
        <v>868</v>
      </c>
      <c r="K3513" s="2" t="s">
        <v>2282</v>
      </c>
      <c r="L3513" s="3">
        <v>0.43333333333333335</v>
      </c>
      <c r="M3513" s="2" t="s">
        <v>1182</v>
      </c>
      <c r="N3513" s="2" t="s">
        <v>500</v>
      </c>
      <c r="O3513" s="2"/>
    </row>
    <row r="3514" spans="1:15" x14ac:dyDescent="0.25">
      <c r="A3514" s="18" t="s">
        <v>15</v>
      </c>
      <c r="B3514" s="18" t="str">
        <f>"FES1162772045"</f>
        <v>FES1162772045</v>
      </c>
      <c r="C3514" s="18" t="s">
        <v>2197</v>
      </c>
      <c r="D3514" s="18">
        <v>1</v>
      </c>
      <c r="E3514" s="18" t="str">
        <f>"2170758081"</f>
        <v>2170758081</v>
      </c>
      <c r="F3514" s="18" t="s">
        <v>17</v>
      </c>
      <c r="G3514" s="18" t="s">
        <v>18</v>
      </c>
      <c r="H3514" s="18" t="s">
        <v>33</v>
      </c>
      <c r="I3514" s="18" t="s">
        <v>34</v>
      </c>
      <c r="J3514" s="18" t="s">
        <v>371</v>
      </c>
      <c r="K3514" s="18" t="s">
        <v>2282</v>
      </c>
      <c r="L3514" s="19">
        <v>0.43333333333333335</v>
      </c>
      <c r="M3514" s="18" t="s">
        <v>2346</v>
      </c>
      <c r="N3514" s="2" t="s">
        <v>500</v>
      </c>
      <c r="O3514" s="18"/>
    </row>
    <row r="3515" spans="1:15" x14ac:dyDescent="0.25">
      <c r="A3515" s="18" t="s">
        <v>15</v>
      </c>
      <c r="B3515" s="18" t="str">
        <f>"FES1162772027"</f>
        <v>FES1162772027</v>
      </c>
      <c r="C3515" s="18" t="s">
        <v>2197</v>
      </c>
      <c r="D3515" s="18">
        <v>1</v>
      </c>
      <c r="E3515" s="18" t="str">
        <f>"2170759022"</f>
        <v>2170759022</v>
      </c>
      <c r="F3515" s="18" t="s">
        <v>17</v>
      </c>
      <c r="G3515" s="18" t="s">
        <v>18</v>
      </c>
      <c r="H3515" s="18" t="s">
        <v>88</v>
      </c>
      <c r="I3515" s="18" t="s">
        <v>109</v>
      </c>
      <c r="J3515" s="18" t="s">
        <v>339</v>
      </c>
      <c r="K3515" s="18" t="s">
        <v>2282</v>
      </c>
      <c r="L3515" s="19">
        <v>0.41666666666666669</v>
      </c>
      <c r="M3515" s="18" t="s">
        <v>557</v>
      </c>
      <c r="N3515" s="2" t="s">
        <v>500</v>
      </c>
      <c r="O3515" s="18"/>
    </row>
    <row r="3516" spans="1:15" x14ac:dyDescent="0.25">
      <c r="A3516" s="18" t="s">
        <v>15</v>
      </c>
      <c r="B3516" s="18" t="str">
        <f>"FES1162772054"</f>
        <v>FES1162772054</v>
      </c>
      <c r="C3516" s="18" t="s">
        <v>2197</v>
      </c>
      <c r="D3516" s="18">
        <v>1</v>
      </c>
      <c r="E3516" s="18" t="str">
        <f>"2170759055"</f>
        <v>2170759055</v>
      </c>
      <c r="F3516" s="18" t="s">
        <v>17</v>
      </c>
      <c r="G3516" s="18" t="s">
        <v>18</v>
      </c>
      <c r="H3516" s="18" t="s">
        <v>25</v>
      </c>
      <c r="I3516" s="18" t="s">
        <v>26</v>
      </c>
      <c r="J3516" s="18" t="s">
        <v>75</v>
      </c>
      <c r="K3516" s="18" t="s">
        <v>2282</v>
      </c>
      <c r="L3516" s="19">
        <v>0.34583333333333338</v>
      </c>
      <c r="M3516" s="18" t="s">
        <v>677</v>
      </c>
      <c r="N3516" s="2" t="s">
        <v>500</v>
      </c>
      <c r="O3516" s="18"/>
    </row>
    <row r="3517" spans="1:15" x14ac:dyDescent="0.25">
      <c r="A3517" s="18" t="s">
        <v>15</v>
      </c>
      <c r="B3517" s="18" t="str">
        <f>"FES1162772050"</f>
        <v>FES1162772050</v>
      </c>
      <c r="C3517" s="18" t="s">
        <v>2197</v>
      </c>
      <c r="D3517" s="18">
        <v>1</v>
      </c>
      <c r="E3517" s="18" t="str">
        <f>"2170759047"</f>
        <v>2170759047</v>
      </c>
      <c r="F3517" s="18" t="s">
        <v>17</v>
      </c>
      <c r="G3517" s="18" t="s">
        <v>18</v>
      </c>
      <c r="H3517" s="18" t="s">
        <v>88</v>
      </c>
      <c r="I3517" s="18" t="s">
        <v>109</v>
      </c>
      <c r="J3517" s="18" t="s">
        <v>766</v>
      </c>
      <c r="K3517" s="18" t="s">
        <v>2282</v>
      </c>
      <c r="L3517" s="19">
        <v>0.39583333333333331</v>
      </c>
      <c r="M3517" s="18" t="s">
        <v>989</v>
      </c>
      <c r="N3517" s="2" t="s">
        <v>500</v>
      </c>
      <c r="O3517" s="18"/>
    </row>
    <row r="3518" spans="1:15" x14ac:dyDescent="0.25">
      <c r="A3518" s="18" t="s">
        <v>15</v>
      </c>
      <c r="B3518" s="18" t="str">
        <f>"FES1162772006"</f>
        <v>FES1162772006</v>
      </c>
      <c r="C3518" s="18" t="s">
        <v>2197</v>
      </c>
      <c r="D3518" s="18">
        <v>1</v>
      </c>
      <c r="E3518" s="18" t="str">
        <f>"2170759013"</f>
        <v>2170759013</v>
      </c>
      <c r="F3518" s="18" t="s">
        <v>17</v>
      </c>
      <c r="G3518" s="18" t="s">
        <v>18</v>
      </c>
      <c r="H3518" s="18" t="s">
        <v>88</v>
      </c>
      <c r="I3518" s="18" t="s">
        <v>109</v>
      </c>
      <c r="J3518" s="18" t="s">
        <v>1409</v>
      </c>
      <c r="K3518" s="18" t="s">
        <v>2282</v>
      </c>
      <c r="L3518" s="19">
        <v>0.38194444444444442</v>
      </c>
      <c r="M3518" s="18" t="s">
        <v>1492</v>
      </c>
      <c r="N3518" s="2" t="s">
        <v>500</v>
      </c>
      <c r="O3518" s="18"/>
    </row>
    <row r="3519" spans="1:15" x14ac:dyDescent="0.25">
      <c r="A3519" s="18" t="s">
        <v>15</v>
      </c>
      <c r="B3519" s="18" t="str">
        <f>"FES1162772031"</f>
        <v>FES1162772031</v>
      </c>
      <c r="C3519" s="18" t="s">
        <v>2197</v>
      </c>
      <c r="D3519" s="18">
        <v>1</v>
      </c>
      <c r="E3519" s="18" t="str">
        <f>"2170759026"</f>
        <v>2170759026</v>
      </c>
      <c r="F3519" s="18" t="s">
        <v>17</v>
      </c>
      <c r="G3519" s="18" t="s">
        <v>18</v>
      </c>
      <c r="H3519" s="18" t="s">
        <v>18</v>
      </c>
      <c r="I3519" s="18" t="s">
        <v>63</v>
      </c>
      <c r="J3519" s="18" t="s">
        <v>93</v>
      </c>
      <c r="K3519" s="18" t="s">
        <v>2282</v>
      </c>
      <c r="L3519" s="19">
        <v>0.35347222222222219</v>
      </c>
      <c r="M3519" s="18" t="s">
        <v>736</v>
      </c>
      <c r="N3519" s="2" t="s">
        <v>500</v>
      </c>
      <c r="O3519" s="18"/>
    </row>
    <row r="3520" spans="1:15" x14ac:dyDescent="0.25">
      <c r="A3520" s="18" t="s">
        <v>15</v>
      </c>
      <c r="B3520" s="18" t="str">
        <f>"FES1162772017"</f>
        <v>FES1162772017</v>
      </c>
      <c r="C3520" s="18" t="s">
        <v>2197</v>
      </c>
      <c r="D3520" s="18">
        <v>1</v>
      </c>
      <c r="E3520" s="18" t="str">
        <f>"2170758629"</f>
        <v>2170758629</v>
      </c>
      <c r="F3520" s="18" t="s">
        <v>17</v>
      </c>
      <c r="G3520" s="18" t="s">
        <v>18</v>
      </c>
      <c r="H3520" s="18" t="s">
        <v>88</v>
      </c>
      <c r="I3520" s="18" t="s">
        <v>109</v>
      </c>
      <c r="J3520" s="18" t="s">
        <v>2151</v>
      </c>
      <c r="K3520" s="18" t="s">
        <v>2282</v>
      </c>
      <c r="L3520" s="19">
        <v>0.4284722222222222</v>
      </c>
      <c r="M3520" s="18" t="s">
        <v>2347</v>
      </c>
      <c r="N3520" s="2" t="s">
        <v>500</v>
      </c>
      <c r="O3520" s="18"/>
    </row>
    <row r="3521" spans="1:15" x14ac:dyDescent="0.25">
      <c r="A3521" s="18" t="s">
        <v>15</v>
      </c>
      <c r="B3521" s="18" t="str">
        <f>"FES1162771992"</f>
        <v>FES1162771992</v>
      </c>
      <c r="C3521" s="18" t="s">
        <v>2197</v>
      </c>
      <c r="D3521" s="18">
        <v>1</v>
      </c>
      <c r="E3521" s="18" t="str">
        <f>"2170758317"</f>
        <v>2170758317</v>
      </c>
      <c r="F3521" s="18" t="s">
        <v>480</v>
      </c>
      <c r="G3521" s="18" t="s">
        <v>206</v>
      </c>
      <c r="H3521" s="18" t="s">
        <v>484</v>
      </c>
      <c r="I3521" s="18" t="s">
        <v>675</v>
      </c>
      <c r="J3521" s="18" t="s">
        <v>1934</v>
      </c>
      <c r="K3521" s="18" t="s">
        <v>2282</v>
      </c>
      <c r="L3521" s="19">
        <v>0.41319444444444442</v>
      </c>
      <c r="M3521" s="18" t="s">
        <v>196</v>
      </c>
      <c r="N3521" s="2" t="s">
        <v>500</v>
      </c>
      <c r="O3521" s="18"/>
    </row>
    <row r="3522" spans="1:15" x14ac:dyDescent="0.25">
      <c r="A3522" s="18" t="s">
        <v>15</v>
      </c>
      <c r="B3522" s="18" t="str">
        <f>"FES1162771988"</f>
        <v>FES1162771988</v>
      </c>
      <c r="C3522" s="18" t="s">
        <v>2197</v>
      </c>
      <c r="D3522" s="18">
        <v>1</v>
      </c>
      <c r="E3522" s="18" t="str">
        <f>"2170758995"</f>
        <v>2170758995</v>
      </c>
      <c r="F3522" s="18" t="s">
        <v>17</v>
      </c>
      <c r="G3522" s="18" t="s">
        <v>18</v>
      </c>
      <c r="H3522" s="18" t="s">
        <v>88</v>
      </c>
      <c r="I3522" s="18" t="s">
        <v>109</v>
      </c>
      <c r="J3522" s="18" t="s">
        <v>141</v>
      </c>
      <c r="K3522" s="18" t="s">
        <v>2282</v>
      </c>
      <c r="L3522" s="19">
        <v>0.38472222222222219</v>
      </c>
      <c r="M3522" s="18" t="s">
        <v>382</v>
      </c>
      <c r="N3522" s="2" t="s">
        <v>500</v>
      </c>
      <c r="O3522" s="18"/>
    </row>
    <row r="3523" spans="1:15" x14ac:dyDescent="0.25">
      <c r="A3523" s="18" t="s">
        <v>15</v>
      </c>
      <c r="B3523" s="18" t="str">
        <f>"FES1162772046"</f>
        <v>FES1162772046</v>
      </c>
      <c r="C3523" s="18" t="s">
        <v>2197</v>
      </c>
      <c r="D3523" s="18">
        <v>1</v>
      </c>
      <c r="E3523" s="18" t="str">
        <f>"2170759037"</f>
        <v>2170759037</v>
      </c>
      <c r="F3523" s="18" t="s">
        <v>17</v>
      </c>
      <c r="G3523" s="18" t="s">
        <v>18</v>
      </c>
      <c r="H3523" s="18" t="s">
        <v>30</v>
      </c>
      <c r="I3523" s="18" t="s">
        <v>444</v>
      </c>
      <c r="J3523" s="18" t="s">
        <v>488</v>
      </c>
      <c r="K3523" s="18" t="s">
        <v>2282</v>
      </c>
      <c r="L3523" s="19">
        <v>0.47916666666666669</v>
      </c>
      <c r="M3523" s="18" t="s">
        <v>2348</v>
      </c>
      <c r="N3523" s="2" t="s">
        <v>500</v>
      </c>
      <c r="O3523" s="18"/>
    </row>
    <row r="3524" spans="1:15" x14ac:dyDescent="0.25">
      <c r="A3524" s="18" t="s">
        <v>15</v>
      </c>
      <c r="B3524" s="18" t="str">
        <f>"FES1162771993"</f>
        <v>FES1162771993</v>
      </c>
      <c r="C3524" s="18" t="s">
        <v>2197</v>
      </c>
      <c r="D3524" s="18">
        <v>1</v>
      </c>
      <c r="E3524" s="18" t="str">
        <f>"2170758585"</f>
        <v>2170758585</v>
      </c>
      <c r="F3524" s="18" t="s">
        <v>2443</v>
      </c>
      <c r="G3524" s="18" t="s">
        <v>206</v>
      </c>
      <c r="H3524" s="18" t="s">
        <v>484</v>
      </c>
      <c r="I3524" s="18" t="s">
        <v>675</v>
      </c>
      <c r="J3524" s="18" t="s">
        <v>1934</v>
      </c>
      <c r="K3524" s="18" t="s">
        <v>2282</v>
      </c>
      <c r="L3524" s="19">
        <v>0.37152777777777773</v>
      </c>
      <c r="M3524" s="18" t="s">
        <v>196</v>
      </c>
      <c r="N3524" s="2" t="s">
        <v>500</v>
      </c>
      <c r="O3524" s="18"/>
    </row>
    <row r="3525" spans="1:15" x14ac:dyDescent="0.25">
      <c r="A3525" s="18" t="s">
        <v>15</v>
      </c>
      <c r="B3525" s="18" t="str">
        <f>"FES1162772058"</f>
        <v>FES1162772058</v>
      </c>
      <c r="C3525" s="18" t="s">
        <v>2197</v>
      </c>
      <c r="D3525" s="18">
        <v>1</v>
      </c>
      <c r="E3525" s="18" t="str">
        <f>"2170759046"</f>
        <v>2170759046</v>
      </c>
      <c r="F3525" s="18" t="s">
        <v>17</v>
      </c>
      <c r="G3525" s="18" t="s">
        <v>18</v>
      </c>
      <c r="H3525" s="18" t="s">
        <v>36</v>
      </c>
      <c r="I3525" s="18" t="s">
        <v>37</v>
      </c>
      <c r="J3525" s="18" t="s">
        <v>869</v>
      </c>
      <c r="K3525" s="18" t="s">
        <v>2282</v>
      </c>
      <c r="L3525" s="19">
        <v>0.36736111111111108</v>
      </c>
      <c r="M3525" s="18" t="s">
        <v>2331</v>
      </c>
      <c r="N3525" s="2" t="s">
        <v>500</v>
      </c>
      <c r="O3525" s="18"/>
    </row>
    <row r="3526" spans="1:15" x14ac:dyDescent="0.25">
      <c r="A3526" s="18" t="s">
        <v>15</v>
      </c>
      <c r="B3526" s="18" t="str">
        <f>"FES1162772057"</f>
        <v>FES1162772057</v>
      </c>
      <c r="C3526" s="18" t="s">
        <v>2197</v>
      </c>
      <c r="D3526" s="18">
        <v>1</v>
      </c>
      <c r="E3526" s="18" t="str">
        <f>"2170759064"</f>
        <v>2170759064</v>
      </c>
      <c r="F3526" s="18" t="s">
        <v>17</v>
      </c>
      <c r="G3526" s="18" t="s">
        <v>18</v>
      </c>
      <c r="H3526" s="18" t="s">
        <v>88</v>
      </c>
      <c r="I3526" s="18" t="s">
        <v>109</v>
      </c>
      <c r="J3526" s="18" t="s">
        <v>141</v>
      </c>
      <c r="K3526" s="18" t="s">
        <v>2282</v>
      </c>
      <c r="L3526" s="19">
        <v>0.38472222222222219</v>
      </c>
      <c r="M3526" s="18" t="s">
        <v>382</v>
      </c>
      <c r="N3526" s="2" t="s">
        <v>500</v>
      </c>
      <c r="O3526" s="18"/>
    </row>
    <row r="3527" spans="1:15" x14ac:dyDescent="0.25">
      <c r="A3527" s="18" t="s">
        <v>15</v>
      </c>
      <c r="B3527" s="18" t="str">
        <f>"FES1162772066"</f>
        <v>FES1162772066</v>
      </c>
      <c r="C3527" s="18" t="s">
        <v>2197</v>
      </c>
      <c r="D3527" s="18">
        <v>1</v>
      </c>
      <c r="E3527" s="18" t="str">
        <f>"2170759074"</f>
        <v>2170759074</v>
      </c>
      <c r="F3527" s="18" t="s">
        <v>17</v>
      </c>
      <c r="G3527" s="18" t="s">
        <v>18</v>
      </c>
      <c r="H3527" s="18" t="s">
        <v>19</v>
      </c>
      <c r="I3527" s="18" t="s">
        <v>136</v>
      </c>
      <c r="J3527" s="18" t="s">
        <v>137</v>
      </c>
      <c r="K3527" s="18" t="s">
        <v>2282</v>
      </c>
      <c r="L3527" s="19">
        <v>0.49652777777777773</v>
      </c>
      <c r="M3527" s="18" t="s">
        <v>137</v>
      </c>
      <c r="N3527" s="2" t="s">
        <v>500</v>
      </c>
      <c r="O3527" s="18"/>
    </row>
    <row r="3528" spans="1:15" x14ac:dyDescent="0.25">
      <c r="A3528" s="20" t="s">
        <v>15</v>
      </c>
      <c r="B3528" s="20" t="str">
        <f>"FES1162772056"</f>
        <v>FES1162772056</v>
      </c>
      <c r="C3528" s="20" t="s">
        <v>2197</v>
      </c>
      <c r="D3528" s="20">
        <v>1</v>
      </c>
      <c r="E3528" s="20" t="str">
        <f>"2170758823"</f>
        <v>2170758823</v>
      </c>
      <c r="F3528" s="20" t="s">
        <v>2443</v>
      </c>
      <c r="G3528" s="20" t="s">
        <v>206</v>
      </c>
      <c r="H3528" s="20" t="s">
        <v>206</v>
      </c>
      <c r="I3528" s="20" t="s">
        <v>1434</v>
      </c>
      <c r="J3528" s="20" t="s">
        <v>2306</v>
      </c>
      <c r="K3528" s="20" t="s">
        <v>2490</v>
      </c>
      <c r="L3528" s="20"/>
      <c r="M3528" s="20" t="s">
        <v>23</v>
      </c>
      <c r="N3528" s="20" t="s">
        <v>175</v>
      </c>
      <c r="O3528" s="20"/>
    </row>
    <row r="3529" spans="1:15" x14ac:dyDescent="0.25">
      <c r="A3529" s="18" t="s">
        <v>15</v>
      </c>
      <c r="B3529" s="18" t="str">
        <f>"FES1162772065"</f>
        <v>FES1162772065</v>
      </c>
      <c r="C3529" s="18" t="s">
        <v>2197</v>
      </c>
      <c r="D3529" s="18">
        <v>1</v>
      </c>
      <c r="E3529" s="18" t="str">
        <f>"2170759072"</f>
        <v>2170759072</v>
      </c>
      <c r="F3529" s="18" t="s">
        <v>17</v>
      </c>
      <c r="G3529" s="18" t="s">
        <v>18</v>
      </c>
      <c r="H3529" s="18" t="s">
        <v>25</v>
      </c>
      <c r="I3529" s="18" t="s">
        <v>42</v>
      </c>
      <c r="J3529" s="18" t="s">
        <v>872</v>
      </c>
      <c r="K3529" s="18" t="s">
        <v>2282</v>
      </c>
      <c r="L3529" s="19">
        <v>0.54305555555555551</v>
      </c>
      <c r="M3529" s="18" t="s">
        <v>1978</v>
      </c>
      <c r="N3529" s="2" t="s">
        <v>500</v>
      </c>
      <c r="O3529" s="18"/>
    </row>
    <row r="3530" spans="1:15" x14ac:dyDescent="0.25">
      <c r="A3530" s="18" t="s">
        <v>15</v>
      </c>
      <c r="B3530" s="18" t="str">
        <f>"FES1162772068"</f>
        <v>FES1162772068</v>
      </c>
      <c r="C3530" s="18" t="s">
        <v>2197</v>
      </c>
      <c r="D3530" s="18">
        <v>1</v>
      </c>
      <c r="E3530" s="18" t="str">
        <f>"2170759077"</f>
        <v>2170759077</v>
      </c>
      <c r="F3530" s="18" t="s">
        <v>17</v>
      </c>
      <c r="G3530" s="18" t="s">
        <v>18</v>
      </c>
      <c r="H3530" s="18" t="s">
        <v>25</v>
      </c>
      <c r="I3530" s="18" t="s">
        <v>26</v>
      </c>
      <c r="J3530" s="18" t="s">
        <v>100</v>
      </c>
      <c r="K3530" s="18" t="s">
        <v>2282</v>
      </c>
      <c r="L3530" s="19">
        <v>0.30486111111111108</v>
      </c>
      <c r="M3530" s="18" t="s">
        <v>2264</v>
      </c>
      <c r="N3530" s="2" t="s">
        <v>500</v>
      </c>
      <c r="O3530" s="18"/>
    </row>
    <row r="3531" spans="1:15" x14ac:dyDescent="0.25">
      <c r="A3531" s="18" t="s">
        <v>15</v>
      </c>
      <c r="B3531" s="18" t="str">
        <f>"FES1162772053"</f>
        <v>FES1162772053</v>
      </c>
      <c r="C3531" s="18" t="s">
        <v>2197</v>
      </c>
      <c r="D3531" s="18">
        <v>1</v>
      </c>
      <c r="E3531" s="18" t="str">
        <f>"2170759058"</f>
        <v>2170759058</v>
      </c>
      <c r="F3531" s="18" t="s">
        <v>17</v>
      </c>
      <c r="G3531" s="18" t="s">
        <v>18</v>
      </c>
      <c r="H3531" s="18" t="s">
        <v>18</v>
      </c>
      <c r="I3531" s="18" t="s">
        <v>63</v>
      </c>
      <c r="J3531" s="18" t="s">
        <v>1670</v>
      </c>
      <c r="K3531" s="18" t="s">
        <v>2282</v>
      </c>
      <c r="L3531" s="19">
        <v>0.32847222222222222</v>
      </c>
      <c r="M3531" s="18" t="s">
        <v>2307</v>
      </c>
      <c r="N3531" s="2" t="s">
        <v>500</v>
      </c>
      <c r="O3531" s="18"/>
    </row>
    <row r="3532" spans="1:15" x14ac:dyDescent="0.25">
      <c r="A3532" s="18" t="s">
        <v>15</v>
      </c>
      <c r="B3532" s="18" t="str">
        <f>"FES1162772062"</f>
        <v>FES1162772062</v>
      </c>
      <c r="C3532" s="18" t="s">
        <v>2197</v>
      </c>
      <c r="D3532" s="18">
        <v>1</v>
      </c>
      <c r="E3532" s="18" t="str">
        <f>"2170759067"</f>
        <v>2170759067</v>
      </c>
      <c r="F3532" s="18" t="s">
        <v>17</v>
      </c>
      <c r="G3532" s="18" t="s">
        <v>18</v>
      </c>
      <c r="H3532" s="18" t="s">
        <v>25</v>
      </c>
      <c r="I3532" s="18" t="s">
        <v>26</v>
      </c>
      <c r="J3532" s="18" t="s">
        <v>27</v>
      </c>
      <c r="K3532" s="18" t="s">
        <v>2282</v>
      </c>
      <c r="L3532" s="19">
        <v>0.39374999999999999</v>
      </c>
      <c r="M3532" s="18" t="s">
        <v>521</v>
      </c>
      <c r="N3532" s="2" t="s">
        <v>500</v>
      </c>
      <c r="O3532" s="18"/>
    </row>
    <row r="3533" spans="1:15" x14ac:dyDescent="0.25">
      <c r="A3533" s="18" t="s">
        <v>15</v>
      </c>
      <c r="B3533" s="18" t="str">
        <f>"FES1162772064"</f>
        <v>FES1162772064</v>
      </c>
      <c r="C3533" s="18" t="s">
        <v>2197</v>
      </c>
      <c r="D3533" s="18">
        <v>1</v>
      </c>
      <c r="E3533" s="18" t="str">
        <f>"2170759071"</f>
        <v>2170759071</v>
      </c>
      <c r="F3533" s="18" t="s">
        <v>17</v>
      </c>
      <c r="G3533" s="18" t="s">
        <v>18</v>
      </c>
      <c r="H3533" s="18" t="s">
        <v>19</v>
      </c>
      <c r="I3533" s="18" t="s">
        <v>20</v>
      </c>
      <c r="J3533" s="18" t="s">
        <v>21</v>
      </c>
      <c r="K3533" s="18" t="s">
        <v>2282</v>
      </c>
      <c r="L3533" s="19">
        <v>0.38055555555555554</v>
      </c>
      <c r="M3533" s="18" t="s">
        <v>682</v>
      </c>
      <c r="N3533" s="2" t="s">
        <v>500</v>
      </c>
      <c r="O3533" s="18"/>
    </row>
    <row r="3534" spans="1:15" x14ac:dyDescent="0.25">
      <c r="A3534" s="18" t="s">
        <v>15</v>
      </c>
      <c r="B3534" s="18" t="str">
        <f>"009940457342"</f>
        <v>009940457342</v>
      </c>
      <c r="C3534" s="18" t="s">
        <v>2197</v>
      </c>
      <c r="D3534" s="18">
        <v>1</v>
      </c>
      <c r="E3534" s="18" t="str">
        <f>"NA"</f>
        <v>NA</v>
      </c>
      <c r="F3534" s="18" t="s">
        <v>17</v>
      </c>
      <c r="G3534" s="18" t="s">
        <v>88</v>
      </c>
      <c r="H3534" s="18" t="s">
        <v>18</v>
      </c>
      <c r="I3534" s="18" t="s">
        <v>46</v>
      </c>
      <c r="J3534" s="18" t="s">
        <v>410</v>
      </c>
      <c r="K3534" s="18" t="s">
        <v>2282</v>
      </c>
      <c r="L3534" s="19">
        <v>0.34027777777777773</v>
      </c>
      <c r="M3534" s="18" t="s">
        <v>262</v>
      </c>
      <c r="N3534" s="2" t="s">
        <v>500</v>
      </c>
      <c r="O3534" s="18"/>
    </row>
    <row r="3535" spans="1:15" x14ac:dyDescent="0.25">
      <c r="A3535" s="18" t="s">
        <v>15</v>
      </c>
      <c r="B3535" s="18" t="str">
        <f>"RFES1162771516"</f>
        <v>RFES1162771516</v>
      </c>
      <c r="C3535" s="18" t="s">
        <v>2197</v>
      </c>
      <c r="D3535" s="18">
        <v>1</v>
      </c>
      <c r="E3535" s="18" t="str">
        <f>"2170755947"</f>
        <v>2170755947</v>
      </c>
      <c r="F3535" s="18" t="s">
        <v>17</v>
      </c>
      <c r="G3535" s="18" t="s">
        <v>18</v>
      </c>
      <c r="H3535" s="18" t="s">
        <v>18</v>
      </c>
      <c r="I3535" s="18" t="s">
        <v>46</v>
      </c>
      <c r="J3535" s="18" t="s">
        <v>170</v>
      </c>
      <c r="K3535" s="18" t="s">
        <v>2282</v>
      </c>
      <c r="L3535" s="19">
        <v>0.34166666666666662</v>
      </c>
      <c r="M3535" s="18" t="s">
        <v>262</v>
      </c>
      <c r="N3535" s="2" t="s">
        <v>500</v>
      </c>
      <c r="O3535" s="18"/>
    </row>
    <row r="3536" spans="1:15" x14ac:dyDescent="0.25">
      <c r="A3536" s="18" t="s">
        <v>15</v>
      </c>
      <c r="B3536" s="18" t="str">
        <f>"FES1162772072"</f>
        <v>FES1162772072</v>
      </c>
      <c r="C3536" s="18" t="s">
        <v>2197</v>
      </c>
      <c r="D3536" s="18">
        <v>1</v>
      </c>
      <c r="E3536" s="18" t="str">
        <f>"2170759079"</f>
        <v>2170759079</v>
      </c>
      <c r="F3536" s="18" t="s">
        <v>17</v>
      </c>
      <c r="G3536" s="18" t="s">
        <v>18</v>
      </c>
      <c r="H3536" s="18" t="s">
        <v>19</v>
      </c>
      <c r="I3536" s="18" t="s">
        <v>111</v>
      </c>
      <c r="J3536" s="18" t="s">
        <v>662</v>
      </c>
      <c r="K3536" s="18" t="s">
        <v>2282</v>
      </c>
      <c r="L3536" s="19">
        <v>0.43472222222222223</v>
      </c>
      <c r="M3536" s="18" t="s">
        <v>2349</v>
      </c>
      <c r="N3536" s="2" t="s">
        <v>500</v>
      </c>
      <c r="O3536" s="18"/>
    </row>
    <row r="3537" spans="1:15" x14ac:dyDescent="0.25">
      <c r="A3537" s="18" t="s">
        <v>15</v>
      </c>
      <c r="B3537" s="18" t="str">
        <f>"FES1162772073"</f>
        <v>FES1162772073</v>
      </c>
      <c r="C3537" s="18" t="s">
        <v>2197</v>
      </c>
      <c r="D3537" s="18">
        <v>1</v>
      </c>
      <c r="E3537" s="18" t="str">
        <f>"2170759080"</f>
        <v>2170759080</v>
      </c>
      <c r="F3537" s="18" t="s">
        <v>17</v>
      </c>
      <c r="G3537" s="18" t="s">
        <v>18</v>
      </c>
      <c r="H3537" s="18" t="s">
        <v>33</v>
      </c>
      <c r="I3537" s="18" t="s">
        <v>34</v>
      </c>
      <c r="J3537" s="18" t="s">
        <v>400</v>
      </c>
      <c r="K3537" s="18" t="s">
        <v>2282</v>
      </c>
      <c r="L3537" s="19">
        <v>0.43333333333333335</v>
      </c>
      <c r="M3537" s="18" t="s">
        <v>706</v>
      </c>
      <c r="N3537" s="2" t="s">
        <v>500</v>
      </c>
      <c r="O3537" s="18"/>
    </row>
    <row r="3538" spans="1:15" x14ac:dyDescent="0.25">
      <c r="A3538" s="18" t="s">
        <v>15</v>
      </c>
      <c r="B3538" s="18" t="str">
        <f>"FES1162772075"</f>
        <v>FES1162772075</v>
      </c>
      <c r="C3538" s="18" t="s">
        <v>2197</v>
      </c>
      <c r="D3538" s="18">
        <v>1</v>
      </c>
      <c r="E3538" s="18" t="str">
        <f>"2170759084"</f>
        <v>2170759084</v>
      </c>
      <c r="F3538" s="18" t="s">
        <v>17</v>
      </c>
      <c r="G3538" s="18" t="s">
        <v>18</v>
      </c>
      <c r="H3538" s="18" t="s">
        <v>19</v>
      </c>
      <c r="I3538" s="18" t="s">
        <v>20</v>
      </c>
      <c r="J3538" s="18" t="s">
        <v>123</v>
      </c>
      <c r="K3538" s="18" t="s">
        <v>2282</v>
      </c>
      <c r="L3538" s="19">
        <v>0.37361111111111112</v>
      </c>
      <c r="M3538" s="18" t="s">
        <v>233</v>
      </c>
      <c r="N3538" s="2" t="s">
        <v>500</v>
      </c>
      <c r="O3538" s="18"/>
    </row>
    <row r="3539" spans="1:15" x14ac:dyDescent="0.25">
      <c r="A3539" s="18" t="s">
        <v>15</v>
      </c>
      <c r="B3539" s="18" t="str">
        <f>"FES1162772067"</f>
        <v>FES1162772067</v>
      </c>
      <c r="C3539" s="18" t="s">
        <v>2197</v>
      </c>
      <c r="D3539" s="18">
        <v>1</v>
      </c>
      <c r="E3539" s="18" t="str">
        <f>"2170759075"</f>
        <v>2170759075</v>
      </c>
      <c r="F3539" s="18" t="s">
        <v>17</v>
      </c>
      <c r="G3539" s="18" t="s">
        <v>18</v>
      </c>
      <c r="H3539" s="18" t="s">
        <v>88</v>
      </c>
      <c r="I3539" s="18" t="s">
        <v>109</v>
      </c>
      <c r="J3539" s="18" t="s">
        <v>69</v>
      </c>
      <c r="K3539" s="18" t="s">
        <v>2282</v>
      </c>
      <c r="L3539" s="19">
        <v>0.3923611111111111</v>
      </c>
      <c r="M3539" s="18" t="s">
        <v>2350</v>
      </c>
      <c r="N3539" s="2" t="s">
        <v>500</v>
      </c>
      <c r="O3539" s="18"/>
    </row>
    <row r="3540" spans="1:15" x14ac:dyDescent="0.25">
      <c r="A3540" s="18" t="s">
        <v>15</v>
      </c>
      <c r="B3540" s="18" t="str">
        <f>"FES1162772071"</f>
        <v>FES1162772071</v>
      </c>
      <c r="C3540" s="18" t="s">
        <v>2197</v>
      </c>
      <c r="D3540" s="18">
        <v>1</v>
      </c>
      <c r="E3540" s="18" t="str">
        <f>"2170758796"</f>
        <v>2170758796</v>
      </c>
      <c r="F3540" s="18" t="s">
        <v>17</v>
      </c>
      <c r="G3540" s="18" t="s">
        <v>18</v>
      </c>
      <c r="H3540" s="18" t="s">
        <v>18</v>
      </c>
      <c r="I3540" s="18" t="s">
        <v>290</v>
      </c>
      <c r="J3540" s="18" t="s">
        <v>420</v>
      </c>
      <c r="K3540" s="18" t="s">
        <v>2282</v>
      </c>
      <c r="L3540" s="19">
        <v>0.33333333333333331</v>
      </c>
      <c r="M3540" s="18" t="s">
        <v>2351</v>
      </c>
      <c r="N3540" s="2" t="s">
        <v>500</v>
      </c>
      <c r="O3540" s="18"/>
    </row>
    <row r="3541" spans="1:15" x14ac:dyDescent="0.25">
      <c r="A3541" s="18" t="s">
        <v>15</v>
      </c>
      <c r="B3541" s="18" t="str">
        <f>"FES1162772079"</f>
        <v>FES1162772079</v>
      </c>
      <c r="C3541" s="18" t="s">
        <v>2197</v>
      </c>
      <c r="D3541" s="18">
        <v>1</v>
      </c>
      <c r="E3541" s="18" t="str">
        <f>"2170758377"</f>
        <v>2170758377</v>
      </c>
      <c r="F3541" s="18" t="s">
        <v>17</v>
      </c>
      <c r="G3541" s="18" t="s">
        <v>18</v>
      </c>
      <c r="H3541" s="18" t="s">
        <v>19</v>
      </c>
      <c r="I3541" s="18" t="s">
        <v>149</v>
      </c>
      <c r="J3541" s="18" t="s">
        <v>150</v>
      </c>
      <c r="K3541" s="18" t="s">
        <v>2282</v>
      </c>
      <c r="L3541" s="19">
        <v>0.46597222222222223</v>
      </c>
      <c r="M3541" s="18" t="s">
        <v>246</v>
      </c>
      <c r="N3541" s="2" t="s">
        <v>500</v>
      </c>
      <c r="O3541" s="18"/>
    </row>
    <row r="3542" spans="1:15" x14ac:dyDescent="0.25">
      <c r="A3542" s="18" t="s">
        <v>15</v>
      </c>
      <c r="B3542" s="18" t="str">
        <f>"FES1162772081"</f>
        <v>FES1162772081</v>
      </c>
      <c r="C3542" s="18" t="s">
        <v>2197</v>
      </c>
      <c r="D3542" s="18">
        <v>1</v>
      </c>
      <c r="E3542" s="18" t="str">
        <f>"2170758890"</f>
        <v>2170758890</v>
      </c>
      <c r="F3542" s="18" t="s">
        <v>17</v>
      </c>
      <c r="G3542" s="18" t="s">
        <v>18</v>
      </c>
      <c r="H3542" s="18" t="s">
        <v>18</v>
      </c>
      <c r="I3542" s="18" t="s">
        <v>459</v>
      </c>
      <c r="J3542" s="18" t="s">
        <v>460</v>
      </c>
      <c r="K3542" s="18" t="s">
        <v>2282</v>
      </c>
      <c r="L3542" s="19">
        <v>0.37152777777777773</v>
      </c>
      <c r="M3542" s="18" t="s">
        <v>2352</v>
      </c>
      <c r="N3542" s="2" t="s">
        <v>500</v>
      </c>
      <c r="O3542" s="18"/>
    </row>
    <row r="3543" spans="1:15" x14ac:dyDescent="0.25">
      <c r="A3543" s="18" t="s">
        <v>15</v>
      </c>
      <c r="B3543" s="18" t="str">
        <f>"FES1162772069"</f>
        <v>FES1162772069</v>
      </c>
      <c r="C3543" s="18" t="s">
        <v>2197</v>
      </c>
      <c r="D3543" s="18">
        <v>1</v>
      </c>
      <c r="E3543" s="18" t="str">
        <f>"2170758241"</f>
        <v>2170758241</v>
      </c>
      <c r="F3543" s="18" t="s">
        <v>17</v>
      </c>
      <c r="G3543" s="18" t="s">
        <v>18</v>
      </c>
      <c r="H3543" s="18" t="s">
        <v>88</v>
      </c>
      <c r="I3543" s="18" t="s">
        <v>109</v>
      </c>
      <c r="J3543" s="18" t="s">
        <v>2042</v>
      </c>
      <c r="K3543" s="18" t="s">
        <v>2282</v>
      </c>
      <c r="L3543" s="19">
        <v>0.38750000000000001</v>
      </c>
      <c r="M3543" s="18" t="s">
        <v>2091</v>
      </c>
      <c r="N3543" s="2" t="s">
        <v>500</v>
      </c>
      <c r="O3543" s="18"/>
    </row>
    <row r="3544" spans="1:15" x14ac:dyDescent="0.25">
      <c r="A3544" s="18" t="s">
        <v>15</v>
      </c>
      <c r="B3544" s="18" t="str">
        <f>"FES1162772078"</f>
        <v>FES1162772078</v>
      </c>
      <c r="C3544" s="18" t="s">
        <v>2197</v>
      </c>
      <c r="D3544" s="18">
        <v>1</v>
      </c>
      <c r="E3544" s="18" t="str">
        <f>"2170758629"</f>
        <v>2170758629</v>
      </c>
      <c r="F3544" s="18" t="s">
        <v>17</v>
      </c>
      <c r="G3544" s="18" t="s">
        <v>18</v>
      </c>
      <c r="H3544" s="18" t="s">
        <v>88</v>
      </c>
      <c r="I3544" s="18" t="s">
        <v>109</v>
      </c>
      <c r="J3544" s="18" t="s">
        <v>2151</v>
      </c>
      <c r="K3544" s="18" t="s">
        <v>2282</v>
      </c>
      <c r="L3544" s="19">
        <v>0.4284722222222222</v>
      </c>
      <c r="M3544" s="18" t="s">
        <v>2347</v>
      </c>
      <c r="N3544" s="2" t="s">
        <v>500</v>
      </c>
      <c r="O3544" s="18"/>
    </row>
    <row r="3545" spans="1:15" x14ac:dyDescent="0.25">
      <c r="A3545" s="18" t="s">
        <v>15</v>
      </c>
      <c r="B3545" s="18" t="str">
        <f>"FES1162772085"</f>
        <v>FES1162772085</v>
      </c>
      <c r="C3545" s="18" t="s">
        <v>2197</v>
      </c>
      <c r="D3545" s="18">
        <v>1</v>
      </c>
      <c r="E3545" s="18" t="str">
        <f>"2170759100"</f>
        <v>2170759100</v>
      </c>
      <c r="F3545" s="18" t="s">
        <v>17</v>
      </c>
      <c r="G3545" s="18" t="s">
        <v>18</v>
      </c>
      <c r="H3545" s="18" t="s">
        <v>18</v>
      </c>
      <c r="I3545" s="18" t="s">
        <v>116</v>
      </c>
      <c r="J3545" s="18" t="s">
        <v>781</v>
      </c>
      <c r="K3545" s="18" t="s">
        <v>2282</v>
      </c>
      <c r="L3545" s="19">
        <v>0.4236111111111111</v>
      </c>
      <c r="M3545" s="18" t="s">
        <v>848</v>
      </c>
      <c r="N3545" s="2" t="s">
        <v>500</v>
      </c>
      <c r="O3545" s="18"/>
    </row>
    <row r="3546" spans="1:15" x14ac:dyDescent="0.25">
      <c r="A3546" s="18" t="s">
        <v>15</v>
      </c>
      <c r="B3546" s="18" t="str">
        <f>"FES1162771990"</f>
        <v>FES1162771990</v>
      </c>
      <c r="C3546" s="18" t="s">
        <v>2197</v>
      </c>
      <c r="D3546" s="18">
        <v>1</v>
      </c>
      <c r="E3546" s="18" t="str">
        <f>"2170755690"</f>
        <v>2170755690</v>
      </c>
      <c r="F3546" s="18" t="s">
        <v>17</v>
      </c>
      <c r="G3546" s="18" t="s">
        <v>18</v>
      </c>
      <c r="H3546" s="18" t="s">
        <v>36</v>
      </c>
      <c r="I3546" s="18" t="s">
        <v>37</v>
      </c>
      <c r="J3546" s="18" t="s">
        <v>378</v>
      </c>
      <c r="K3546" s="18" t="s">
        <v>2282</v>
      </c>
      <c r="L3546" s="19">
        <v>0.34375</v>
      </c>
      <c r="M3546" s="18" t="s">
        <v>2100</v>
      </c>
      <c r="N3546" s="2" t="s">
        <v>500</v>
      </c>
      <c r="O3546" s="18"/>
    </row>
    <row r="3547" spans="1:15" x14ac:dyDescent="0.25">
      <c r="A3547" s="18" t="s">
        <v>15</v>
      </c>
      <c r="B3547" s="18" t="str">
        <f>"FES1162772077"</f>
        <v>FES1162772077</v>
      </c>
      <c r="C3547" s="18" t="s">
        <v>2197</v>
      </c>
      <c r="D3547" s="18">
        <v>1</v>
      </c>
      <c r="E3547" s="18" t="str">
        <f>"2170759092"</f>
        <v>2170759092</v>
      </c>
      <c r="F3547" s="18" t="s">
        <v>17</v>
      </c>
      <c r="G3547" s="18" t="s">
        <v>18</v>
      </c>
      <c r="H3547" s="18" t="s">
        <v>25</v>
      </c>
      <c r="I3547" s="18" t="s">
        <v>26</v>
      </c>
      <c r="J3547" s="18" t="s">
        <v>1146</v>
      </c>
      <c r="K3547" s="18" t="s">
        <v>2282</v>
      </c>
      <c r="L3547" s="19">
        <v>0.41736111111111113</v>
      </c>
      <c r="M3547" s="18" t="s">
        <v>1209</v>
      </c>
      <c r="N3547" s="2" t="s">
        <v>500</v>
      </c>
      <c r="O3547" s="18"/>
    </row>
    <row r="3548" spans="1:15" x14ac:dyDescent="0.25">
      <c r="A3548" s="18" t="s">
        <v>15</v>
      </c>
      <c r="B3548" s="18" t="str">
        <f>"FES1162772080"</f>
        <v>FES1162772080</v>
      </c>
      <c r="C3548" s="18" t="s">
        <v>2197</v>
      </c>
      <c r="D3548" s="18">
        <v>2</v>
      </c>
      <c r="E3548" s="18" t="str">
        <f>"2170757086"</f>
        <v>2170757086</v>
      </c>
      <c r="F3548" s="18" t="s">
        <v>17</v>
      </c>
      <c r="G3548" s="18" t="s">
        <v>18</v>
      </c>
      <c r="H3548" s="18" t="s">
        <v>78</v>
      </c>
      <c r="I3548" s="18" t="s">
        <v>79</v>
      </c>
      <c r="J3548" s="18" t="s">
        <v>327</v>
      </c>
      <c r="K3548" s="18" t="s">
        <v>2282</v>
      </c>
      <c r="L3548" s="19">
        <v>0.41666666666666669</v>
      </c>
      <c r="M3548" s="18" t="s">
        <v>2353</v>
      </c>
      <c r="N3548" s="2" t="s">
        <v>500</v>
      </c>
      <c r="O3548" s="18"/>
    </row>
    <row r="3549" spans="1:15" x14ac:dyDescent="0.25">
      <c r="A3549" s="18" t="s">
        <v>15</v>
      </c>
      <c r="B3549" s="18" t="str">
        <f>"FES1162772087"</f>
        <v>FES1162772087</v>
      </c>
      <c r="C3549" s="18" t="s">
        <v>2197</v>
      </c>
      <c r="D3549" s="18">
        <v>1</v>
      </c>
      <c r="E3549" s="18" t="str">
        <f>"2170759105"</f>
        <v>2170759105</v>
      </c>
      <c r="F3549" s="18" t="s">
        <v>17</v>
      </c>
      <c r="G3549" s="18" t="s">
        <v>18</v>
      </c>
      <c r="H3549" s="18" t="s">
        <v>36</v>
      </c>
      <c r="I3549" s="18" t="s">
        <v>37</v>
      </c>
      <c r="J3549" s="18" t="s">
        <v>2308</v>
      </c>
      <c r="K3549" s="18" t="s">
        <v>2282</v>
      </c>
      <c r="L3549" s="19">
        <v>0.34375</v>
      </c>
      <c r="M3549" s="18" t="s">
        <v>183</v>
      </c>
      <c r="N3549" s="2" t="s">
        <v>500</v>
      </c>
      <c r="O3549" s="18"/>
    </row>
    <row r="3550" spans="1:15" x14ac:dyDescent="0.25">
      <c r="A3550" s="18" t="s">
        <v>15</v>
      </c>
      <c r="B3550" s="18" t="str">
        <f>"009940283632"</f>
        <v>009940283632</v>
      </c>
      <c r="C3550" s="18" t="s">
        <v>2197</v>
      </c>
      <c r="D3550" s="18">
        <v>1</v>
      </c>
      <c r="E3550" s="18" t="str">
        <f>"1162763925"</f>
        <v>1162763925</v>
      </c>
      <c r="F3550" s="18" t="s">
        <v>17</v>
      </c>
      <c r="G3550" s="18" t="s">
        <v>18</v>
      </c>
      <c r="H3550" s="18" t="s">
        <v>18</v>
      </c>
      <c r="I3550" s="18" t="s">
        <v>459</v>
      </c>
      <c r="J3550" s="18" t="s">
        <v>460</v>
      </c>
      <c r="K3550" s="18" t="s">
        <v>2282</v>
      </c>
      <c r="L3550" s="19">
        <v>0.37152777777777773</v>
      </c>
      <c r="M3550" s="18" t="s">
        <v>2354</v>
      </c>
      <c r="N3550" s="2" t="s">
        <v>500</v>
      </c>
      <c r="O3550" s="18"/>
    </row>
    <row r="3551" spans="1:15" x14ac:dyDescent="0.25">
      <c r="A3551" s="18" t="s">
        <v>15</v>
      </c>
      <c r="B3551" s="18" t="str">
        <f>"FES1162772086"</f>
        <v>FES1162772086</v>
      </c>
      <c r="C3551" s="18" t="s">
        <v>2197</v>
      </c>
      <c r="D3551" s="18">
        <v>1</v>
      </c>
      <c r="E3551" s="18" t="str">
        <f>"2170759104"</f>
        <v>2170759104</v>
      </c>
      <c r="F3551" s="18" t="s">
        <v>17</v>
      </c>
      <c r="G3551" s="18" t="s">
        <v>18</v>
      </c>
      <c r="H3551" s="18" t="s">
        <v>19</v>
      </c>
      <c r="I3551" s="18" t="s">
        <v>20</v>
      </c>
      <c r="J3551" s="18" t="s">
        <v>380</v>
      </c>
      <c r="K3551" s="18" t="s">
        <v>2356</v>
      </c>
      <c r="L3551" s="19">
        <v>0.3666666666666667</v>
      </c>
      <c r="M3551" s="18" t="s">
        <v>2451</v>
      </c>
      <c r="N3551" s="2" t="s">
        <v>500</v>
      </c>
      <c r="O3551" s="18"/>
    </row>
    <row r="3552" spans="1:15" x14ac:dyDescent="0.25">
      <c r="A3552" s="18" t="s">
        <v>15</v>
      </c>
      <c r="B3552" s="18" t="str">
        <f>"FES1162772093"</f>
        <v>FES1162772093</v>
      </c>
      <c r="C3552" s="18" t="s">
        <v>2197</v>
      </c>
      <c r="D3552" s="18">
        <v>1</v>
      </c>
      <c r="E3552" s="18" t="str">
        <f>"2170758366"</f>
        <v>2170758366</v>
      </c>
      <c r="F3552" s="18" t="s">
        <v>17</v>
      </c>
      <c r="G3552" s="18" t="s">
        <v>18</v>
      </c>
      <c r="H3552" s="18" t="s">
        <v>484</v>
      </c>
      <c r="I3552" s="18" t="s">
        <v>485</v>
      </c>
      <c r="J3552" s="18" t="s">
        <v>486</v>
      </c>
      <c r="K3552" s="18" t="s">
        <v>2282</v>
      </c>
      <c r="L3552" s="19">
        <v>0.41666666666666669</v>
      </c>
      <c r="M3552" s="18" t="s">
        <v>288</v>
      </c>
      <c r="N3552" s="2" t="s">
        <v>500</v>
      </c>
      <c r="O3552" s="18"/>
    </row>
    <row r="3553" spans="1:15" x14ac:dyDescent="0.25">
      <c r="A3553" s="18" t="s">
        <v>15</v>
      </c>
      <c r="B3553" s="18" t="str">
        <f>"FES1162772092"</f>
        <v>FES1162772092</v>
      </c>
      <c r="C3553" s="18" t="s">
        <v>2197</v>
      </c>
      <c r="D3553" s="18">
        <v>1</v>
      </c>
      <c r="E3553" s="18" t="str">
        <f>"2170759111"</f>
        <v>2170759111</v>
      </c>
      <c r="F3553" s="18" t="s">
        <v>17</v>
      </c>
      <c r="G3553" s="18" t="s">
        <v>18</v>
      </c>
      <c r="H3553" s="18" t="s">
        <v>19</v>
      </c>
      <c r="I3553" s="18" t="s">
        <v>85</v>
      </c>
      <c r="J3553" s="18" t="s">
        <v>915</v>
      </c>
      <c r="K3553" s="18" t="s">
        <v>2384</v>
      </c>
      <c r="L3553" s="19">
        <v>0.5</v>
      </c>
      <c r="M3553" s="18" t="s">
        <v>502</v>
      </c>
      <c r="N3553" s="2" t="s">
        <v>500</v>
      </c>
      <c r="O3553" s="18"/>
    </row>
    <row r="3554" spans="1:15" x14ac:dyDescent="0.25">
      <c r="A3554" s="18" t="s">
        <v>15</v>
      </c>
      <c r="B3554" s="18" t="str">
        <f>"FES1162772083"</f>
        <v>FES1162772083</v>
      </c>
      <c r="C3554" s="18" t="s">
        <v>2197</v>
      </c>
      <c r="D3554" s="18">
        <v>1</v>
      </c>
      <c r="E3554" s="18" t="str">
        <f>"2170759095"</f>
        <v>2170759095</v>
      </c>
      <c r="F3554" s="18" t="s">
        <v>17</v>
      </c>
      <c r="G3554" s="18" t="s">
        <v>18</v>
      </c>
      <c r="H3554" s="18" t="s">
        <v>18</v>
      </c>
      <c r="I3554" s="18" t="s">
        <v>46</v>
      </c>
      <c r="J3554" s="18" t="s">
        <v>59</v>
      </c>
      <c r="K3554" s="18" t="s">
        <v>2282</v>
      </c>
      <c r="L3554" s="19">
        <v>0.30902777777777779</v>
      </c>
      <c r="M3554" s="18" t="s">
        <v>60</v>
      </c>
      <c r="N3554" s="2" t="s">
        <v>500</v>
      </c>
      <c r="O3554" s="18"/>
    </row>
    <row r="3555" spans="1:15" x14ac:dyDescent="0.25">
      <c r="A3555" s="18" t="s">
        <v>15</v>
      </c>
      <c r="B3555" s="18" t="str">
        <f>"FES1162772090"</f>
        <v>FES1162772090</v>
      </c>
      <c r="C3555" s="18" t="s">
        <v>2197</v>
      </c>
      <c r="D3555" s="18">
        <v>1</v>
      </c>
      <c r="E3555" s="18" t="str">
        <f>"2170759109"</f>
        <v>2170759109</v>
      </c>
      <c r="F3555" s="18" t="s">
        <v>17</v>
      </c>
      <c r="G3555" s="18" t="s">
        <v>18</v>
      </c>
      <c r="H3555" s="18" t="s">
        <v>18</v>
      </c>
      <c r="I3555" s="18" t="s">
        <v>57</v>
      </c>
      <c r="J3555" s="18" t="s">
        <v>903</v>
      </c>
      <c r="K3555" s="18" t="s">
        <v>2282</v>
      </c>
      <c r="L3555" s="19">
        <v>0.41666666666666669</v>
      </c>
      <c r="M3555" s="18" t="s">
        <v>1842</v>
      </c>
      <c r="N3555" s="2" t="s">
        <v>500</v>
      </c>
      <c r="O3555" s="18"/>
    </row>
    <row r="3556" spans="1:15" x14ac:dyDescent="0.25">
      <c r="A3556" s="18" t="s">
        <v>15</v>
      </c>
      <c r="B3556" s="18" t="str">
        <f>"FES1162772094"</f>
        <v>FES1162772094</v>
      </c>
      <c r="C3556" s="18" t="s">
        <v>2197</v>
      </c>
      <c r="D3556" s="18">
        <v>1</v>
      </c>
      <c r="E3556" s="18" t="str">
        <f>"2170758666"</f>
        <v>2170758666</v>
      </c>
      <c r="F3556" s="18" t="s">
        <v>480</v>
      </c>
      <c r="G3556" s="18" t="s">
        <v>206</v>
      </c>
      <c r="H3556" s="18" t="s">
        <v>484</v>
      </c>
      <c r="I3556" s="18" t="s">
        <v>485</v>
      </c>
      <c r="J3556" s="18" t="s">
        <v>486</v>
      </c>
      <c r="K3556" s="18" t="s">
        <v>2282</v>
      </c>
      <c r="L3556" s="19">
        <v>0.41666666666666669</v>
      </c>
      <c r="M3556" s="18" t="s">
        <v>288</v>
      </c>
      <c r="N3556" s="2" t="s">
        <v>500</v>
      </c>
      <c r="O3556" s="18"/>
    </row>
    <row r="3557" spans="1:15" x14ac:dyDescent="0.25">
      <c r="A3557" s="18" t="s">
        <v>15</v>
      </c>
      <c r="B3557" s="18" t="str">
        <f>"FES1162772088"</f>
        <v>FES1162772088</v>
      </c>
      <c r="C3557" s="18" t="s">
        <v>2197</v>
      </c>
      <c r="D3557" s="18">
        <v>1</v>
      </c>
      <c r="E3557" s="18" t="str">
        <f>"2170759107"</f>
        <v>2170759107</v>
      </c>
      <c r="F3557" s="18" t="s">
        <v>17</v>
      </c>
      <c r="G3557" s="18" t="s">
        <v>18</v>
      </c>
      <c r="H3557" s="18" t="s">
        <v>18</v>
      </c>
      <c r="I3557" s="18" t="s">
        <v>116</v>
      </c>
      <c r="J3557" s="18" t="s">
        <v>493</v>
      </c>
      <c r="K3557" s="18" t="s">
        <v>2282</v>
      </c>
      <c r="L3557" s="19">
        <v>0.39652777777777781</v>
      </c>
      <c r="M3557" s="18" t="s">
        <v>598</v>
      </c>
      <c r="N3557" s="2" t="s">
        <v>500</v>
      </c>
      <c r="O3557" s="18"/>
    </row>
    <row r="3558" spans="1:15" x14ac:dyDescent="0.25">
      <c r="A3558" s="18" t="s">
        <v>15</v>
      </c>
      <c r="B3558" s="18" t="str">
        <f>"FES1162772084"</f>
        <v>FES1162772084</v>
      </c>
      <c r="C3558" s="18" t="s">
        <v>2197</v>
      </c>
      <c r="D3558" s="18">
        <v>1</v>
      </c>
      <c r="E3558" s="18" t="str">
        <f>"2170759097"</f>
        <v>2170759097</v>
      </c>
      <c r="F3558" s="18" t="s">
        <v>17</v>
      </c>
      <c r="G3558" s="18" t="s">
        <v>18</v>
      </c>
      <c r="H3558" s="18" t="s">
        <v>18</v>
      </c>
      <c r="I3558" s="18" t="s">
        <v>63</v>
      </c>
      <c r="J3558" s="18" t="s">
        <v>1751</v>
      </c>
      <c r="K3558" s="18" t="s">
        <v>2282</v>
      </c>
      <c r="L3558" s="19">
        <v>0.36944444444444446</v>
      </c>
      <c r="M3558" s="18" t="s">
        <v>2355</v>
      </c>
      <c r="N3558" s="2" t="s">
        <v>500</v>
      </c>
      <c r="O3558" s="18"/>
    </row>
    <row r="3559" spans="1:15" x14ac:dyDescent="0.25">
      <c r="A3559" s="18" t="s">
        <v>15</v>
      </c>
      <c r="B3559" s="18" t="str">
        <f>"FES1162772037"</f>
        <v>FES1162772037</v>
      </c>
      <c r="C3559" s="18" t="s">
        <v>2197</v>
      </c>
      <c r="D3559" s="18">
        <v>1</v>
      </c>
      <c r="E3559" s="18" t="str">
        <f>"2170759007"</f>
        <v>2170759007</v>
      </c>
      <c r="F3559" s="18" t="s">
        <v>17</v>
      </c>
      <c r="G3559" s="18" t="s">
        <v>18</v>
      </c>
      <c r="H3559" s="18" t="s">
        <v>19</v>
      </c>
      <c r="I3559" s="18" t="s">
        <v>20</v>
      </c>
      <c r="J3559" s="18" t="s">
        <v>21</v>
      </c>
      <c r="K3559" s="18" t="s">
        <v>2282</v>
      </c>
      <c r="L3559" s="19">
        <v>0.38055555555555554</v>
      </c>
      <c r="M3559" s="18" t="s">
        <v>682</v>
      </c>
      <c r="N3559" s="2" t="s">
        <v>500</v>
      </c>
      <c r="O3559" s="18"/>
    </row>
    <row r="3560" spans="1:15" x14ac:dyDescent="0.25">
      <c r="A3560" s="2" t="s">
        <v>15</v>
      </c>
      <c r="B3560" s="2" t="str">
        <f>"FES1162772193"</f>
        <v>FES1162772193</v>
      </c>
      <c r="C3560" s="2" t="s">
        <v>2282</v>
      </c>
      <c r="D3560" s="2">
        <v>1</v>
      </c>
      <c r="E3560" s="2" t="str">
        <f>"2170756832"</f>
        <v>2170756832</v>
      </c>
      <c r="F3560" s="2" t="s">
        <v>17</v>
      </c>
      <c r="G3560" s="2" t="s">
        <v>18</v>
      </c>
      <c r="H3560" s="2" t="s">
        <v>18</v>
      </c>
      <c r="I3560" s="2" t="s">
        <v>46</v>
      </c>
      <c r="J3560" s="2" t="s">
        <v>59</v>
      </c>
      <c r="K3560" s="2" t="s">
        <v>2356</v>
      </c>
      <c r="L3560" s="3">
        <v>0.4375</v>
      </c>
      <c r="M3560" s="2" t="s">
        <v>60</v>
      </c>
      <c r="N3560" s="2" t="s">
        <v>500</v>
      </c>
      <c r="O3560" s="2"/>
    </row>
    <row r="3561" spans="1:15" x14ac:dyDescent="0.25">
      <c r="A3561" s="2" t="s">
        <v>15</v>
      </c>
      <c r="B3561" s="2" t="str">
        <f>"FES1162772415"</f>
        <v>FES1162772415</v>
      </c>
      <c r="C3561" s="2" t="s">
        <v>2282</v>
      </c>
      <c r="D3561" s="2">
        <v>1</v>
      </c>
      <c r="E3561" s="2" t="str">
        <f>"2170759287"</f>
        <v>2170759287</v>
      </c>
      <c r="F3561" s="2" t="s">
        <v>17</v>
      </c>
      <c r="G3561" s="2" t="s">
        <v>18</v>
      </c>
      <c r="H3561" s="2" t="s">
        <v>25</v>
      </c>
      <c r="I3561" s="2" t="s">
        <v>26</v>
      </c>
      <c r="J3561" s="2" t="s">
        <v>94</v>
      </c>
      <c r="K3561" s="2" t="s">
        <v>2356</v>
      </c>
      <c r="L3561" s="3">
        <v>0.41666666666666669</v>
      </c>
      <c r="M3561" s="2" t="s">
        <v>1114</v>
      </c>
      <c r="N3561" s="2" t="s">
        <v>500</v>
      </c>
      <c r="O3561" s="2"/>
    </row>
    <row r="3562" spans="1:15" x14ac:dyDescent="0.25">
      <c r="A3562" s="2" t="s">
        <v>15</v>
      </c>
      <c r="B3562" s="2" t="str">
        <f>"FES1162772136"</f>
        <v>FES1162772136</v>
      </c>
      <c r="C3562" s="2" t="s">
        <v>2282</v>
      </c>
      <c r="D3562" s="2">
        <v>1</v>
      </c>
      <c r="E3562" s="2" t="str">
        <f>"2170759140"</f>
        <v>2170759140</v>
      </c>
      <c r="F3562" s="2" t="s">
        <v>17</v>
      </c>
      <c r="G3562" s="2" t="s">
        <v>18</v>
      </c>
      <c r="H3562" s="2" t="s">
        <v>363</v>
      </c>
      <c r="I3562" s="2" t="s">
        <v>489</v>
      </c>
      <c r="J3562" s="2" t="s">
        <v>2357</v>
      </c>
      <c r="K3562" s="2" t="s">
        <v>2356</v>
      </c>
      <c r="L3562" s="3">
        <v>0.39583333333333331</v>
      </c>
      <c r="M3562" s="2" t="s">
        <v>2378</v>
      </c>
      <c r="N3562" s="2" t="s">
        <v>500</v>
      </c>
      <c r="O3562" s="2"/>
    </row>
    <row r="3563" spans="1:15" x14ac:dyDescent="0.25">
      <c r="A3563" s="2" t="s">
        <v>15</v>
      </c>
      <c r="B3563" s="2" t="str">
        <f>"FES1162772143"</f>
        <v>FES1162772143</v>
      </c>
      <c r="C3563" s="2" t="s">
        <v>2282</v>
      </c>
      <c r="D3563" s="2">
        <v>1</v>
      </c>
      <c r="E3563" s="2" t="str">
        <f>"2170759145"</f>
        <v>2170759145</v>
      </c>
      <c r="F3563" s="2" t="s">
        <v>17</v>
      </c>
      <c r="G3563" s="2" t="s">
        <v>18</v>
      </c>
      <c r="H3563" s="2" t="s">
        <v>19</v>
      </c>
      <c r="I3563" s="2" t="s">
        <v>111</v>
      </c>
      <c r="J3563" s="2" t="s">
        <v>385</v>
      </c>
      <c r="K3563" s="2" t="s">
        <v>2356</v>
      </c>
      <c r="L3563" s="3">
        <v>0.44930555555555557</v>
      </c>
      <c r="M3563" s="2" t="s">
        <v>956</v>
      </c>
      <c r="N3563" s="2" t="s">
        <v>500</v>
      </c>
      <c r="O3563" s="2"/>
    </row>
    <row r="3564" spans="1:15" x14ac:dyDescent="0.25">
      <c r="A3564" s="2" t="s">
        <v>15</v>
      </c>
      <c r="B3564" s="2" t="str">
        <f>"FES1162772139"</f>
        <v>FES1162772139</v>
      </c>
      <c r="C3564" s="2" t="s">
        <v>2282</v>
      </c>
      <c r="D3564" s="2">
        <v>1</v>
      </c>
      <c r="E3564" s="2" t="str">
        <f>"2170759144"</f>
        <v>2170759144</v>
      </c>
      <c r="F3564" s="2" t="s">
        <v>17</v>
      </c>
      <c r="G3564" s="2" t="s">
        <v>18</v>
      </c>
      <c r="H3564" s="2" t="s">
        <v>19</v>
      </c>
      <c r="I3564" s="2" t="s">
        <v>114</v>
      </c>
      <c r="J3564" s="2" t="s">
        <v>2358</v>
      </c>
      <c r="K3564" s="2" t="s">
        <v>2356</v>
      </c>
      <c r="L3564" s="3">
        <v>0.56527777777777777</v>
      </c>
      <c r="M3564" s="2" t="s">
        <v>1374</v>
      </c>
      <c r="N3564" s="2" t="s">
        <v>500</v>
      </c>
      <c r="O3564" s="2"/>
    </row>
    <row r="3565" spans="1:15" x14ac:dyDescent="0.25">
      <c r="A3565" s="2" t="s">
        <v>15</v>
      </c>
      <c r="B3565" s="2" t="str">
        <f>"FES1162772126"</f>
        <v>FES1162772126</v>
      </c>
      <c r="C3565" s="2" t="s">
        <v>2282</v>
      </c>
      <c r="D3565" s="2">
        <v>1</v>
      </c>
      <c r="E3565" s="2" t="str">
        <f>"2170759114"</f>
        <v>2170759114</v>
      </c>
      <c r="F3565" s="2" t="s">
        <v>17</v>
      </c>
      <c r="G3565" s="2" t="s">
        <v>18</v>
      </c>
      <c r="H3565" s="2" t="s">
        <v>19</v>
      </c>
      <c r="I3565" s="2" t="s">
        <v>20</v>
      </c>
      <c r="J3565" s="2" t="s">
        <v>428</v>
      </c>
      <c r="K3565" s="2" t="s">
        <v>2356</v>
      </c>
      <c r="L3565" s="3">
        <v>0.40833333333333338</v>
      </c>
      <c r="M3565" s="2" t="s">
        <v>1383</v>
      </c>
      <c r="N3565" s="2" t="s">
        <v>500</v>
      </c>
      <c r="O3565" s="2"/>
    </row>
    <row r="3566" spans="1:15" x14ac:dyDescent="0.25">
      <c r="A3566" s="2" t="s">
        <v>15</v>
      </c>
      <c r="B3566" s="2" t="str">
        <f>"FES1162772121"</f>
        <v>FES1162772121</v>
      </c>
      <c r="C3566" s="2" t="s">
        <v>2282</v>
      </c>
      <c r="D3566" s="2">
        <v>1</v>
      </c>
      <c r="E3566" s="2" t="str">
        <f>"2170758649"</f>
        <v>2170758649</v>
      </c>
      <c r="F3566" s="2" t="s">
        <v>17</v>
      </c>
      <c r="G3566" s="2" t="s">
        <v>18</v>
      </c>
      <c r="H3566" s="2" t="s">
        <v>88</v>
      </c>
      <c r="I3566" s="2" t="s">
        <v>109</v>
      </c>
      <c r="J3566" s="2" t="s">
        <v>66</v>
      </c>
      <c r="K3566" s="2" t="s">
        <v>2356</v>
      </c>
      <c r="L3566" s="3">
        <v>0.4375</v>
      </c>
      <c r="M3566" s="2" t="s">
        <v>2379</v>
      </c>
      <c r="N3566" s="2" t="s">
        <v>500</v>
      </c>
      <c r="O3566" s="2"/>
    </row>
    <row r="3567" spans="1:15" x14ac:dyDescent="0.25">
      <c r="A3567" s="2" t="s">
        <v>15</v>
      </c>
      <c r="B3567" s="2" t="str">
        <f>"FES1162772147"</f>
        <v>FES1162772147</v>
      </c>
      <c r="C3567" s="2" t="s">
        <v>2282</v>
      </c>
      <c r="D3567" s="2">
        <v>1</v>
      </c>
      <c r="E3567" s="2" t="str">
        <f>"2170759153"</f>
        <v>2170759153</v>
      </c>
      <c r="F3567" s="2" t="s">
        <v>17</v>
      </c>
      <c r="G3567" s="2" t="s">
        <v>18</v>
      </c>
      <c r="H3567" s="2" t="s">
        <v>25</v>
      </c>
      <c r="I3567" s="2" t="s">
        <v>26</v>
      </c>
      <c r="J3567" s="2" t="s">
        <v>785</v>
      </c>
      <c r="K3567" s="2" t="s">
        <v>2356</v>
      </c>
      <c r="L3567" s="3">
        <v>0.43055555555555558</v>
      </c>
      <c r="M3567" s="2" t="s">
        <v>1207</v>
      </c>
      <c r="N3567" s="2" t="s">
        <v>500</v>
      </c>
      <c r="O3567" s="2"/>
    </row>
    <row r="3568" spans="1:15" x14ac:dyDescent="0.25">
      <c r="A3568" s="2" t="s">
        <v>15</v>
      </c>
      <c r="B3568" s="2" t="str">
        <f>"FES1162772127"</f>
        <v>FES1162772127</v>
      </c>
      <c r="C3568" s="2" t="s">
        <v>2282</v>
      </c>
      <c r="D3568" s="2">
        <v>1</v>
      </c>
      <c r="E3568" s="2" t="str">
        <f>"2170759120"</f>
        <v>2170759120</v>
      </c>
      <c r="F3568" s="2" t="s">
        <v>17</v>
      </c>
      <c r="G3568" s="2" t="s">
        <v>18</v>
      </c>
      <c r="H3568" s="2" t="s">
        <v>25</v>
      </c>
      <c r="I3568" s="2" t="s">
        <v>26</v>
      </c>
      <c r="J3568" s="2" t="s">
        <v>75</v>
      </c>
      <c r="K3568" s="2" t="s">
        <v>2356</v>
      </c>
      <c r="L3568" s="3">
        <v>0.38611111111111113</v>
      </c>
      <c r="M3568" s="2" t="s">
        <v>1329</v>
      </c>
      <c r="N3568" s="2" t="s">
        <v>500</v>
      </c>
      <c r="O3568" s="2"/>
    </row>
    <row r="3569" spans="1:15" x14ac:dyDescent="0.25">
      <c r="A3569" s="2" t="s">
        <v>15</v>
      </c>
      <c r="B3569" s="2" t="str">
        <f>"FES1162772164"</f>
        <v>FES1162772164</v>
      </c>
      <c r="C3569" s="2" t="s">
        <v>2282</v>
      </c>
      <c r="D3569" s="2">
        <v>1</v>
      </c>
      <c r="E3569" s="2" t="str">
        <f>"2170759172"</f>
        <v>2170759172</v>
      </c>
      <c r="F3569" s="2" t="s">
        <v>17</v>
      </c>
      <c r="G3569" s="2" t="s">
        <v>18</v>
      </c>
      <c r="H3569" s="2" t="s">
        <v>18</v>
      </c>
      <c r="I3569" s="2" t="s">
        <v>46</v>
      </c>
      <c r="J3569" s="2" t="s">
        <v>115</v>
      </c>
      <c r="K3569" s="2" t="s">
        <v>2356</v>
      </c>
      <c r="L3569" s="3">
        <v>0.31597222222222221</v>
      </c>
      <c r="M3569" s="2" t="s">
        <v>354</v>
      </c>
      <c r="N3569" s="2" t="s">
        <v>500</v>
      </c>
      <c r="O3569" s="2"/>
    </row>
    <row r="3570" spans="1:15" x14ac:dyDescent="0.25">
      <c r="A3570" s="2" t="s">
        <v>15</v>
      </c>
      <c r="B3570" s="2" t="str">
        <f>"FES1162772120"</f>
        <v>FES1162772120</v>
      </c>
      <c r="C3570" s="2" t="s">
        <v>2282</v>
      </c>
      <c r="D3570" s="2">
        <v>1</v>
      </c>
      <c r="E3570" s="2" t="str">
        <f>"2170758474"</f>
        <v>2170758474</v>
      </c>
      <c r="F3570" s="2" t="s">
        <v>17</v>
      </c>
      <c r="G3570" s="2" t="s">
        <v>18</v>
      </c>
      <c r="H3570" s="2" t="s">
        <v>25</v>
      </c>
      <c r="I3570" s="2" t="s">
        <v>42</v>
      </c>
      <c r="J3570" s="2" t="s">
        <v>416</v>
      </c>
      <c r="K3570" s="2" t="s">
        <v>2356</v>
      </c>
      <c r="L3570" s="3">
        <v>0.52152777777777781</v>
      </c>
      <c r="M3570" s="2" t="s">
        <v>517</v>
      </c>
      <c r="N3570" s="2" t="s">
        <v>500</v>
      </c>
      <c r="O3570" s="2"/>
    </row>
    <row r="3571" spans="1:15" x14ac:dyDescent="0.25">
      <c r="A3571" s="2" t="s">
        <v>15</v>
      </c>
      <c r="B3571" s="2" t="str">
        <f>"FES1162772165"</f>
        <v>FES1162772165</v>
      </c>
      <c r="C3571" s="2" t="s">
        <v>2282</v>
      </c>
      <c r="D3571" s="2">
        <v>1</v>
      </c>
      <c r="E3571" s="2" t="str">
        <f>"2170759173"</f>
        <v>2170759173</v>
      </c>
      <c r="F3571" s="2" t="s">
        <v>17</v>
      </c>
      <c r="G3571" s="2" t="s">
        <v>18</v>
      </c>
      <c r="H3571" s="2" t="s">
        <v>25</v>
      </c>
      <c r="I3571" s="2" t="s">
        <v>26</v>
      </c>
      <c r="J3571" s="2" t="s">
        <v>27</v>
      </c>
      <c r="K3571" s="2" t="s">
        <v>2356</v>
      </c>
      <c r="L3571" s="3">
        <v>0.39652777777777781</v>
      </c>
      <c r="M3571" s="2" t="s">
        <v>521</v>
      </c>
      <c r="N3571" s="2" t="s">
        <v>500</v>
      </c>
      <c r="O3571" s="2"/>
    </row>
    <row r="3572" spans="1:15" x14ac:dyDescent="0.25">
      <c r="A3572" s="2" t="s">
        <v>15</v>
      </c>
      <c r="B3572" s="2" t="str">
        <f>"FES1162772123"</f>
        <v>FES1162772123</v>
      </c>
      <c r="C3572" s="2" t="s">
        <v>2282</v>
      </c>
      <c r="D3572" s="2">
        <v>1</v>
      </c>
      <c r="E3572" s="2" t="str">
        <f>"2170758898"</f>
        <v>2170758898</v>
      </c>
      <c r="F3572" s="2" t="s">
        <v>17</v>
      </c>
      <c r="G3572" s="2" t="s">
        <v>18</v>
      </c>
      <c r="H3572" s="2" t="s">
        <v>18</v>
      </c>
      <c r="I3572" s="2" t="s">
        <v>52</v>
      </c>
      <c r="J3572" s="2" t="s">
        <v>2359</v>
      </c>
      <c r="K3572" s="2" t="s">
        <v>2356</v>
      </c>
      <c r="L3572" s="3">
        <v>0.42708333333333331</v>
      </c>
      <c r="M3572" s="2" t="s">
        <v>2380</v>
      </c>
      <c r="N3572" s="2" t="s">
        <v>500</v>
      </c>
      <c r="O3572" s="2"/>
    </row>
    <row r="3573" spans="1:15" x14ac:dyDescent="0.25">
      <c r="A3573" s="2" t="s">
        <v>15</v>
      </c>
      <c r="B3573" s="2" t="str">
        <f>"FES1162772112"</f>
        <v>FES1162772112</v>
      </c>
      <c r="C3573" s="2" t="s">
        <v>2282</v>
      </c>
      <c r="D3573" s="2">
        <v>1</v>
      </c>
      <c r="E3573" s="2" t="str">
        <f>"2170757452"</f>
        <v>2170757452</v>
      </c>
      <c r="F3573" s="2" t="s">
        <v>17</v>
      </c>
      <c r="G3573" s="2" t="s">
        <v>18</v>
      </c>
      <c r="H3573" s="2" t="s">
        <v>25</v>
      </c>
      <c r="I3573" s="2" t="s">
        <v>42</v>
      </c>
      <c r="J3573" s="2" t="s">
        <v>416</v>
      </c>
      <c r="K3573" s="2" t="s">
        <v>2356</v>
      </c>
      <c r="L3573" s="3">
        <v>0.52152777777777781</v>
      </c>
      <c r="M3573" s="2" t="s">
        <v>517</v>
      </c>
      <c r="N3573" s="2" t="s">
        <v>500</v>
      </c>
      <c r="O3573" s="2"/>
    </row>
    <row r="3574" spans="1:15" x14ac:dyDescent="0.25">
      <c r="A3574" s="2" t="s">
        <v>15</v>
      </c>
      <c r="B3574" s="2" t="str">
        <f>"FES1162772096"</f>
        <v>FES1162772096</v>
      </c>
      <c r="C3574" s="2" t="s">
        <v>2282</v>
      </c>
      <c r="D3574" s="2">
        <v>1</v>
      </c>
      <c r="E3574" s="2" t="str">
        <f>"2170758680"</f>
        <v>2170758680</v>
      </c>
      <c r="F3574" s="2" t="s">
        <v>205</v>
      </c>
      <c r="G3574" s="2" t="s">
        <v>206</v>
      </c>
      <c r="H3574" s="2" t="s">
        <v>206</v>
      </c>
      <c r="I3574" s="2" t="s">
        <v>63</v>
      </c>
      <c r="J3574" s="2" t="s">
        <v>93</v>
      </c>
      <c r="K3574" s="2" t="s">
        <v>2356</v>
      </c>
      <c r="L3574" s="3">
        <v>0.36249999999999999</v>
      </c>
      <c r="M3574" s="2" t="s">
        <v>471</v>
      </c>
      <c r="N3574" s="2" t="s">
        <v>500</v>
      </c>
      <c r="O3574" s="2"/>
    </row>
    <row r="3575" spans="1:15" x14ac:dyDescent="0.25">
      <c r="A3575" s="2" t="s">
        <v>15</v>
      </c>
      <c r="B3575" s="2" t="str">
        <f>"FES1162772110"</f>
        <v>FES1162772110</v>
      </c>
      <c r="C3575" s="2" t="s">
        <v>2282</v>
      </c>
      <c r="D3575" s="2">
        <v>2</v>
      </c>
      <c r="E3575" s="2" t="str">
        <f>"2170753002"</f>
        <v>2170753002</v>
      </c>
      <c r="F3575" s="2" t="s">
        <v>17</v>
      </c>
      <c r="G3575" s="2" t="s">
        <v>18</v>
      </c>
      <c r="H3575" s="2" t="s">
        <v>25</v>
      </c>
      <c r="I3575" s="2" t="s">
        <v>26</v>
      </c>
      <c r="J3575" s="2" t="s">
        <v>27</v>
      </c>
      <c r="K3575" s="2" t="s">
        <v>2356</v>
      </c>
      <c r="L3575" s="3">
        <v>0.39583333333333331</v>
      </c>
      <c r="M3575" s="2" t="s">
        <v>521</v>
      </c>
      <c r="N3575" s="2" t="s">
        <v>500</v>
      </c>
      <c r="O3575" s="2"/>
    </row>
    <row r="3576" spans="1:15" x14ac:dyDescent="0.25">
      <c r="A3576" s="2" t="s">
        <v>15</v>
      </c>
      <c r="B3576" s="2" t="str">
        <f>"FES1162772137"</f>
        <v>FES1162772137</v>
      </c>
      <c r="C3576" s="2" t="s">
        <v>2282</v>
      </c>
      <c r="D3576" s="2">
        <v>1</v>
      </c>
      <c r="E3576" s="2" t="str">
        <f>"2170759141"</f>
        <v>2170759141</v>
      </c>
      <c r="F3576" s="2" t="s">
        <v>17</v>
      </c>
      <c r="G3576" s="2" t="s">
        <v>18</v>
      </c>
      <c r="H3576" s="2" t="s">
        <v>18</v>
      </c>
      <c r="I3576" s="2" t="s">
        <v>290</v>
      </c>
      <c r="J3576" s="2" t="s">
        <v>51</v>
      </c>
      <c r="K3576" s="2" t="s">
        <v>2356</v>
      </c>
      <c r="L3576" s="3">
        <v>0.4375</v>
      </c>
      <c r="M3576" s="2" t="s">
        <v>983</v>
      </c>
      <c r="N3576" s="2" t="s">
        <v>500</v>
      </c>
      <c r="O3576" s="2"/>
    </row>
    <row r="3577" spans="1:15" x14ac:dyDescent="0.25">
      <c r="A3577" s="17" t="s">
        <v>15</v>
      </c>
      <c r="B3577" s="17" t="str">
        <f>"FES1162772141"</f>
        <v>FES1162772141</v>
      </c>
      <c r="C3577" s="17" t="s">
        <v>2282</v>
      </c>
      <c r="D3577" s="17">
        <v>1</v>
      </c>
      <c r="E3577" s="17" t="str">
        <f>"2170759137"</f>
        <v>2170759137</v>
      </c>
      <c r="F3577" s="17" t="s">
        <v>17</v>
      </c>
      <c r="G3577" s="17" t="s">
        <v>18</v>
      </c>
      <c r="H3577" s="17" t="s">
        <v>30</v>
      </c>
      <c r="I3577" s="17" t="s">
        <v>444</v>
      </c>
      <c r="J3577" s="17" t="s">
        <v>1797</v>
      </c>
      <c r="K3577" s="17" t="s">
        <v>2490</v>
      </c>
      <c r="L3577" s="17"/>
      <c r="M3577" s="17" t="s">
        <v>23</v>
      </c>
      <c r="N3577" s="17" t="s">
        <v>2376</v>
      </c>
      <c r="O3577" s="17" t="s">
        <v>2511</v>
      </c>
    </row>
    <row r="3578" spans="1:15" x14ac:dyDescent="0.25">
      <c r="A3578" s="2" t="s">
        <v>15</v>
      </c>
      <c r="B3578" s="2" t="str">
        <f>"FES1162772116"</f>
        <v>FES1162772116</v>
      </c>
      <c r="C3578" s="2" t="s">
        <v>2282</v>
      </c>
      <c r="D3578" s="2">
        <v>1</v>
      </c>
      <c r="E3578" s="2" t="str">
        <f>"2170757917"</f>
        <v>2170757917</v>
      </c>
      <c r="F3578" s="2" t="s">
        <v>17</v>
      </c>
      <c r="G3578" s="2" t="s">
        <v>18</v>
      </c>
      <c r="H3578" s="2" t="s">
        <v>18</v>
      </c>
      <c r="I3578" s="2" t="s">
        <v>107</v>
      </c>
      <c r="J3578" s="2" t="s">
        <v>108</v>
      </c>
      <c r="K3578" s="2" t="s">
        <v>2356</v>
      </c>
      <c r="L3578" s="3">
        <v>0.375</v>
      </c>
      <c r="M3578" s="2" t="s">
        <v>2381</v>
      </c>
      <c r="N3578" s="2" t="s">
        <v>500</v>
      </c>
      <c r="O3578" s="2"/>
    </row>
    <row r="3579" spans="1:15" x14ac:dyDescent="0.25">
      <c r="A3579" s="2" t="s">
        <v>15</v>
      </c>
      <c r="B3579" s="2" t="str">
        <f>"FES1162772122"</f>
        <v>FES1162772122</v>
      </c>
      <c r="C3579" s="2" t="s">
        <v>2282</v>
      </c>
      <c r="D3579" s="2">
        <v>1</v>
      </c>
      <c r="E3579" s="2" t="str">
        <f>"2170758851"</f>
        <v>2170758851</v>
      </c>
      <c r="F3579" s="2" t="s">
        <v>17</v>
      </c>
      <c r="G3579" s="2" t="s">
        <v>18</v>
      </c>
      <c r="H3579" s="2" t="s">
        <v>25</v>
      </c>
      <c r="I3579" s="2" t="s">
        <v>42</v>
      </c>
      <c r="J3579" s="2" t="s">
        <v>416</v>
      </c>
      <c r="K3579" s="2" t="s">
        <v>2356</v>
      </c>
      <c r="L3579" s="3">
        <v>0.52152777777777781</v>
      </c>
      <c r="M3579" s="2" t="s">
        <v>517</v>
      </c>
      <c r="N3579" s="2" t="s">
        <v>500</v>
      </c>
      <c r="O3579" s="2"/>
    </row>
    <row r="3580" spans="1:15" x14ac:dyDescent="0.25">
      <c r="A3580" s="2" t="s">
        <v>15</v>
      </c>
      <c r="B3580" s="2" t="str">
        <f>"FES1162772125"</f>
        <v>FES1162772125</v>
      </c>
      <c r="C3580" s="2" t="s">
        <v>2282</v>
      </c>
      <c r="D3580" s="2">
        <v>1</v>
      </c>
      <c r="E3580" s="2" t="str">
        <f>"2170759112"</f>
        <v>2170759112</v>
      </c>
      <c r="F3580" s="2" t="s">
        <v>17</v>
      </c>
      <c r="G3580" s="2" t="s">
        <v>18</v>
      </c>
      <c r="H3580" s="2" t="s">
        <v>18</v>
      </c>
      <c r="I3580" s="2" t="s">
        <v>50</v>
      </c>
      <c r="J3580" s="2" t="s">
        <v>482</v>
      </c>
      <c r="K3580" s="2" t="s">
        <v>2356</v>
      </c>
      <c r="L3580" s="3">
        <v>0.4375</v>
      </c>
      <c r="M3580" s="2" t="s">
        <v>2382</v>
      </c>
      <c r="N3580" s="2" t="s">
        <v>500</v>
      </c>
      <c r="O3580" s="2"/>
    </row>
    <row r="3581" spans="1:15" x14ac:dyDescent="0.25">
      <c r="A3581" s="2" t="s">
        <v>15</v>
      </c>
      <c r="B3581" s="2" t="str">
        <f>"FES1162772119"</f>
        <v>FES1162772119</v>
      </c>
      <c r="C3581" s="2" t="s">
        <v>2282</v>
      </c>
      <c r="D3581" s="2">
        <v>1</v>
      </c>
      <c r="E3581" s="2" t="str">
        <f>"2170758050"</f>
        <v>2170758050</v>
      </c>
      <c r="F3581" s="2" t="s">
        <v>17</v>
      </c>
      <c r="G3581" s="2" t="s">
        <v>18</v>
      </c>
      <c r="H3581" s="2" t="s">
        <v>25</v>
      </c>
      <c r="I3581" s="2" t="s">
        <v>26</v>
      </c>
      <c r="J3581" s="2" t="s">
        <v>75</v>
      </c>
      <c r="K3581" s="2" t="s">
        <v>2356</v>
      </c>
      <c r="L3581" s="3">
        <v>0.38611111111111113</v>
      </c>
      <c r="M3581" s="2" t="s">
        <v>1329</v>
      </c>
      <c r="N3581" s="2" t="s">
        <v>500</v>
      </c>
      <c r="O3581" s="2"/>
    </row>
    <row r="3582" spans="1:15" x14ac:dyDescent="0.25">
      <c r="A3582" s="2" t="s">
        <v>15</v>
      </c>
      <c r="B3582" s="2" t="str">
        <f>"FES1162772152"</f>
        <v>FES1162772152</v>
      </c>
      <c r="C3582" s="2" t="s">
        <v>2282</v>
      </c>
      <c r="D3582" s="2">
        <v>1</v>
      </c>
      <c r="E3582" s="2" t="str">
        <f>"2170759167"</f>
        <v>2170759167</v>
      </c>
      <c r="F3582" s="2" t="s">
        <v>17</v>
      </c>
      <c r="G3582" s="2" t="s">
        <v>18</v>
      </c>
      <c r="H3582" s="2" t="s">
        <v>25</v>
      </c>
      <c r="I3582" s="2" t="s">
        <v>26</v>
      </c>
      <c r="J3582" s="2" t="s">
        <v>28</v>
      </c>
      <c r="K3582" s="2" t="s">
        <v>2356</v>
      </c>
      <c r="L3582" s="3">
        <v>0.3430555555555555</v>
      </c>
      <c r="M3582" s="2" t="s">
        <v>172</v>
      </c>
      <c r="N3582" s="2" t="s">
        <v>500</v>
      </c>
      <c r="O3582" s="2"/>
    </row>
    <row r="3583" spans="1:15" x14ac:dyDescent="0.25">
      <c r="A3583" s="2" t="s">
        <v>15</v>
      </c>
      <c r="B3583" s="2" t="str">
        <f>"FES1162772117"</f>
        <v>FES1162772117</v>
      </c>
      <c r="C3583" s="2" t="s">
        <v>2282</v>
      </c>
      <c r="D3583" s="2">
        <v>1</v>
      </c>
      <c r="E3583" s="2" t="str">
        <f>"2170757994"</f>
        <v>2170757994</v>
      </c>
      <c r="F3583" s="2" t="s">
        <v>17</v>
      </c>
      <c r="G3583" s="2" t="s">
        <v>18</v>
      </c>
      <c r="H3583" s="2" t="s">
        <v>88</v>
      </c>
      <c r="I3583" s="2" t="s">
        <v>109</v>
      </c>
      <c r="J3583" s="2" t="s">
        <v>66</v>
      </c>
      <c r="K3583" s="2" t="s">
        <v>2356</v>
      </c>
      <c r="L3583" s="3">
        <v>0.4375</v>
      </c>
      <c r="M3583" s="2" t="s">
        <v>969</v>
      </c>
      <c r="N3583" s="2" t="s">
        <v>500</v>
      </c>
      <c r="O3583" s="2"/>
    </row>
    <row r="3584" spans="1:15" x14ac:dyDescent="0.25">
      <c r="A3584" s="2" t="s">
        <v>15</v>
      </c>
      <c r="B3584" s="2" t="str">
        <f>"FES1162772108"</f>
        <v>FES1162772108</v>
      </c>
      <c r="C3584" s="2" t="s">
        <v>2282</v>
      </c>
      <c r="D3584" s="2">
        <v>1</v>
      </c>
      <c r="E3584" s="2" t="str">
        <f>"2170759119"</f>
        <v>2170759119</v>
      </c>
      <c r="F3584" s="2" t="s">
        <v>17</v>
      </c>
      <c r="G3584" s="2" t="s">
        <v>18</v>
      </c>
      <c r="H3584" s="2" t="s">
        <v>25</v>
      </c>
      <c r="I3584" s="2" t="s">
        <v>26</v>
      </c>
      <c r="J3584" s="2" t="s">
        <v>474</v>
      </c>
      <c r="K3584" s="2" t="s">
        <v>2356</v>
      </c>
      <c r="L3584" s="3">
        <v>0.41666666666666669</v>
      </c>
      <c r="M3584" s="2" t="s">
        <v>1252</v>
      </c>
      <c r="N3584" s="2" t="s">
        <v>500</v>
      </c>
      <c r="O3584" s="2"/>
    </row>
    <row r="3585" spans="1:15" x14ac:dyDescent="0.25">
      <c r="A3585" s="2" t="s">
        <v>15</v>
      </c>
      <c r="B3585" s="2" t="str">
        <f>"FES1162772146"</f>
        <v>FES1162772146</v>
      </c>
      <c r="C3585" s="2" t="s">
        <v>2282</v>
      </c>
      <c r="D3585" s="2">
        <v>1</v>
      </c>
      <c r="E3585" s="2" t="str">
        <f>"2170759158"</f>
        <v>2170759158</v>
      </c>
      <c r="F3585" s="2" t="s">
        <v>17</v>
      </c>
      <c r="G3585" s="2" t="s">
        <v>18</v>
      </c>
      <c r="H3585" s="2" t="s">
        <v>25</v>
      </c>
      <c r="I3585" s="2" t="s">
        <v>26</v>
      </c>
      <c r="J3585" s="2" t="s">
        <v>28</v>
      </c>
      <c r="K3585" s="2" t="s">
        <v>2356</v>
      </c>
      <c r="L3585" s="3">
        <v>0.3430555555555555</v>
      </c>
      <c r="M3585" s="2" t="s">
        <v>172</v>
      </c>
      <c r="N3585" s="2" t="s">
        <v>500</v>
      </c>
      <c r="O3585" s="2"/>
    </row>
    <row r="3586" spans="1:15" x14ac:dyDescent="0.25">
      <c r="A3586" s="2" t="s">
        <v>15</v>
      </c>
      <c r="B3586" s="2" t="str">
        <f>"FES1162772109"</f>
        <v>FES1162772109</v>
      </c>
      <c r="C3586" s="2" t="s">
        <v>2282</v>
      </c>
      <c r="D3586" s="2">
        <v>2</v>
      </c>
      <c r="E3586" s="2" t="str">
        <f>"2170753001"</f>
        <v>2170753001</v>
      </c>
      <c r="F3586" s="2" t="s">
        <v>17</v>
      </c>
      <c r="G3586" s="2" t="s">
        <v>18</v>
      </c>
      <c r="H3586" s="2" t="s">
        <v>25</v>
      </c>
      <c r="I3586" s="2" t="s">
        <v>26</v>
      </c>
      <c r="J3586" s="2" t="s">
        <v>27</v>
      </c>
      <c r="K3586" s="2" t="s">
        <v>2356</v>
      </c>
      <c r="L3586" s="3">
        <v>0.3972222222222222</v>
      </c>
      <c r="M3586" s="2" t="s">
        <v>521</v>
      </c>
      <c r="N3586" s="2" t="s">
        <v>500</v>
      </c>
      <c r="O3586" s="2"/>
    </row>
    <row r="3587" spans="1:15" x14ac:dyDescent="0.25">
      <c r="A3587" s="2" t="s">
        <v>15</v>
      </c>
      <c r="B3587" s="2" t="str">
        <f>"FES1162772115"</f>
        <v>FES1162772115</v>
      </c>
      <c r="C3587" s="2" t="s">
        <v>2282</v>
      </c>
      <c r="D3587" s="2">
        <v>1</v>
      </c>
      <c r="E3587" s="2" t="str">
        <f>"2170757904"</f>
        <v>2170757904</v>
      </c>
      <c r="F3587" s="2" t="s">
        <v>480</v>
      </c>
      <c r="G3587" s="2" t="s">
        <v>206</v>
      </c>
      <c r="H3587" s="2" t="s">
        <v>206</v>
      </c>
      <c r="I3587" s="2" t="s">
        <v>329</v>
      </c>
      <c r="J3587" s="2" t="s">
        <v>1311</v>
      </c>
      <c r="K3587" s="2" t="s">
        <v>2356</v>
      </c>
      <c r="L3587" s="3">
        <v>0.4375</v>
      </c>
      <c r="M3587" s="2" t="s">
        <v>2383</v>
      </c>
      <c r="N3587" s="2" t="s">
        <v>500</v>
      </c>
      <c r="O3587" s="2"/>
    </row>
    <row r="3588" spans="1:15" x14ac:dyDescent="0.25">
      <c r="A3588" s="2" t="s">
        <v>15</v>
      </c>
      <c r="B3588" s="2" t="str">
        <f>"FES1162772148"</f>
        <v>FES1162772148</v>
      </c>
      <c r="C3588" s="2" t="s">
        <v>2282</v>
      </c>
      <c r="D3588" s="2">
        <v>1</v>
      </c>
      <c r="E3588" s="2" t="str">
        <f>"2170759154"</f>
        <v>2170759154</v>
      </c>
      <c r="F3588" s="2" t="s">
        <v>17</v>
      </c>
      <c r="G3588" s="2" t="s">
        <v>18</v>
      </c>
      <c r="H3588" s="2" t="s">
        <v>88</v>
      </c>
      <c r="I3588" s="2" t="s">
        <v>109</v>
      </c>
      <c r="J3588" s="2" t="s">
        <v>66</v>
      </c>
      <c r="K3588" s="2" t="s">
        <v>2356</v>
      </c>
      <c r="L3588" s="3">
        <v>0.4375</v>
      </c>
      <c r="M3588" s="2" t="s">
        <v>969</v>
      </c>
      <c r="N3588" s="2" t="s">
        <v>500</v>
      </c>
      <c r="O3588" s="2"/>
    </row>
    <row r="3589" spans="1:15" x14ac:dyDescent="0.25">
      <c r="A3589" s="2" t="s">
        <v>15</v>
      </c>
      <c r="B3589" s="2" t="str">
        <f>"FES1162772128"</f>
        <v>FES1162772128</v>
      </c>
      <c r="C3589" s="2" t="s">
        <v>2282</v>
      </c>
      <c r="D3589" s="2">
        <v>1</v>
      </c>
      <c r="E3589" s="2" t="str">
        <f>"2170759121"</f>
        <v>2170759121</v>
      </c>
      <c r="F3589" s="2" t="s">
        <v>205</v>
      </c>
      <c r="G3589" s="2" t="s">
        <v>206</v>
      </c>
      <c r="H3589" s="2" t="s">
        <v>25</v>
      </c>
      <c r="I3589" s="2" t="s">
        <v>125</v>
      </c>
      <c r="J3589" s="2" t="s">
        <v>126</v>
      </c>
      <c r="K3589" s="2" t="s">
        <v>2384</v>
      </c>
      <c r="L3589" s="3">
        <v>0.5708333333333333</v>
      </c>
      <c r="M3589" s="2" t="s">
        <v>1189</v>
      </c>
      <c r="N3589" s="2" t="s">
        <v>500</v>
      </c>
      <c r="O3589" s="2"/>
    </row>
    <row r="3590" spans="1:15" x14ac:dyDescent="0.25">
      <c r="A3590" s="2" t="s">
        <v>15</v>
      </c>
      <c r="B3590" s="2" t="str">
        <f>"FES1162772118"</f>
        <v>FES1162772118</v>
      </c>
      <c r="C3590" s="2" t="s">
        <v>2282</v>
      </c>
      <c r="D3590" s="2">
        <v>1</v>
      </c>
      <c r="E3590" s="2" t="str">
        <f>"2170758032"</f>
        <v>2170758032</v>
      </c>
      <c r="F3590" s="2" t="s">
        <v>17</v>
      </c>
      <c r="G3590" s="2" t="s">
        <v>18</v>
      </c>
      <c r="H3590" s="2" t="s">
        <v>25</v>
      </c>
      <c r="I3590" s="2" t="s">
        <v>42</v>
      </c>
      <c r="J3590" s="2" t="s">
        <v>416</v>
      </c>
      <c r="K3590" s="2" t="s">
        <v>2356</v>
      </c>
      <c r="L3590" s="3">
        <v>0.52152777777777781</v>
      </c>
      <c r="M3590" s="2" t="s">
        <v>517</v>
      </c>
      <c r="N3590" s="2" t="s">
        <v>500</v>
      </c>
      <c r="O3590" s="2"/>
    </row>
    <row r="3591" spans="1:15" x14ac:dyDescent="0.25">
      <c r="A3591" s="2" t="s">
        <v>15</v>
      </c>
      <c r="B3591" s="2" t="str">
        <f>"FES1162772162"</f>
        <v>FES1162772162</v>
      </c>
      <c r="C3591" s="2" t="s">
        <v>2282</v>
      </c>
      <c r="D3591" s="2">
        <v>1</v>
      </c>
      <c r="E3591" s="2" t="str">
        <f>"2170757591"</f>
        <v>2170757591</v>
      </c>
      <c r="F3591" s="2" t="s">
        <v>17</v>
      </c>
      <c r="G3591" s="2" t="s">
        <v>18</v>
      </c>
      <c r="H3591" s="2" t="s">
        <v>18</v>
      </c>
      <c r="I3591" s="2" t="s">
        <v>82</v>
      </c>
      <c r="J3591" s="2" t="s">
        <v>2360</v>
      </c>
      <c r="K3591" s="2" t="s">
        <v>2356</v>
      </c>
      <c r="L3591" s="3">
        <v>0.4375</v>
      </c>
      <c r="M3591" s="2" t="s">
        <v>2385</v>
      </c>
      <c r="N3591" s="2" t="s">
        <v>500</v>
      </c>
      <c r="O3591" s="2"/>
    </row>
    <row r="3592" spans="1:15" x14ac:dyDescent="0.25">
      <c r="A3592" s="2" t="s">
        <v>15</v>
      </c>
      <c r="B3592" s="2" t="str">
        <f>"FES1162772130"</f>
        <v>FES1162772130</v>
      </c>
      <c r="C3592" s="2" t="s">
        <v>2282</v>
      </c>
      <c r="D3592" s="2">
        <v>1</v>
      </c>
      <c r="E3592" s="2" t="str">
        <f>"2170759127"</f>
        <v>2170759127</v>
      </c>
      <c r="F3592" s="2" t="s">
        <v>17</v>
      </c>
      <c r="G3592" s="2" t="s">
        <v>18</v>
      </c>
      <c r="H3592" s="2" t="s">
        <v>18</v>
      </c>
      <c r="I3592" s="2" t="s">
        <v>57</v>
      </c>
      <c r="J3592" s="2" t="s">
        <v>1405</v>
      </c>
      <c r="K3592" s="2" t="s">
        <v>2356</v>
      </c>
      <c r="L3592" s="3">
        <v>0.375</v>
      </c>
      <c r="M3592" s="2" t="s">
        <v>1484</v>
      </c>
      <c r="N3592" s="2" t="s">
        <v>500</v>
      </c>
      <c r="O3592" s="2"/>
    </row>
    <row r="3593" spans="1:15" x14ac:dyDescent="0.25">
      <c r="A3593" s="2" t="s">
        <v>15</v>
      </c>
      <c r="B3593" s="2" t="str">
        <f>"FES1162772131"</f>
        <v>FES1162772131</v>
      </c>
      <c r="C3593" s="2" t="s">
        <v>2282</v>
      </c>
      <c r="D3593" s="2">
        <v>1</v>
      </c>
      <c r="E3593" s="2" t="str">
        <f>"2170759128"</f>
        <v>2170759128</v>
      </c>
      <c r="F3593" s="2" t="s">
        <v>17</v>
      </c>
      <c r="G3593" s="2" t="s">
        <v>18</v>
      </c>
      <c r="H3593" s="2" t="s">
        <v>18</v>
      </c>
      <c r="I3593" s="2" t="s">
        <v>57</v>
      </c>
      <c r="J3593" s="2" t="s">
        <v>1405</v>
      </c>
      <c r="K3593" s="2" t="s">
        <v>2356</v>
      </c>
      <c r="L3593" s="3">
        <v>0.375</v>
      </c>
      <c r="M3593" s="2" t="s">
        <v>1484</v>
      </c>
      <c r="N3593" s="2" t="s">
        <v>500</v>
      </c>
      <c r="O3593" s="2"/>
    </row>
    <row r="3594" spans="1:15" x14ac:dyDescent="0.25">
      <c r="A3594" s="2" t="s">
        <v>15</v>
      </c>
      <c r="B3594" s="2" t="str">
        <f>"FES1162772111"</f>
        <v>FES1162772111</v>
      </c>
      <c r="C3594" s="2" t="s">
        <v>2282</v>
      </c>
      <c r="D3594" s="2">
        <v>1</v>
      </c>
      <c r="E3594" s="2" t="str">
        <f>"2170755578"</f>
        <v>2170755578</v>
      </c>
      <c r="F3594" s="2" t="s">
        <v>17</v>
      </c>
      <c r="G3594" s="2" t="s">
        <v>18</v>
      </c>
      <c r="H3594" s="2" t="s">
        <v>18</v>
      </c>
      <c r="I3594" s="2" t="s">
        <v>46</v>
      </c>
      <c r="J3594" s="2" t="s">
        <v>2361</v>
      </c>
      <c r="K3594" s="2" t="s">
        <v>2356</v>
      </c>
      <c r="L3594" s="3">
        <v>0.34375</v>
      </c>
      <c r="M3594" s="2" t="s">
        <v>1371</v>
      </c>
      <c r="N3594" s="2" t="s">
        <v>500</v>
      </c>
      <c r="O3594" s="2"/>
    </row>
    <row r="3595" spans="1:15" x14ac:dyDescent="0.25">
      <c r="A3595" s="2" t="s">
        <v>15</v>
      </c>
      <c r="B3595" s="2" t="str">
        <f>"FES1162772150"</f>
        <v>FES1162772150</v>
      </c>
      <c r="C3595" s="2" t="s">
        <v>2282</v>
      </c>
      <c r="D3595" s="2">
        <v>1</v>
      </c>
      <c r="E3595" s="2" t="str">
        <f>"2170759160"</f>
        <v>2170759160</v>
      </c>
      <c r="F3595" s="2" t="s">
        <v>17</v>
      </c>
      <c r="G3595" s="2" t="s">
        <v>18</v>
      </c>
      <c r="H3595" s="2" t="s">
        <v>18</v>
      </c>
      <c r="I3595" s="2" t="s">
        <v>46</v>
      </c>
      <c r="J3595" s="2" t="s">
        <v>915</v>
      </c>
      <c r="K3595" s="2" t="s">
        <v>2356</v>
      </c>
      <c r="L3595" s="3">
        <v>0.30624999999999997</v>
      </c>
      <c r="M3595" s="2" t="s">
        <v>1219</v>
      </c>
      <c r="N3595" s="2" t="s">
        <v>500</v>
      </c>
      <c r="O3595" s="2"/>
    </row>
    <row r="3596" spans="1:15" x14ac:dyDescent="0.25">
      <c r="A3596" s="2" t="s">
        <v>15</v>
      </c>
      <c r="B3596" s="2" t="str">
        <f>"FES1162772135"</f>
        <v>FES1162772135</v>
      </c>
      <c r="C3596" s="2" t="s">
        <v>2282</v>
      </c>
      <c r="D3596" s="2">
        <v>1</v>
      </c>
      <c r="E3596" s="2" t="str">
        <f>"2170759136"</f>
        <v>2170759136</v>
      </c>
      <c r="F3596" s="2" t="s">
        <v>17</v>
      </c>
      <c r="G3596" s="2" t="s">
        <v>18</v>
      </c>
      <c r="H3596" s="2" t="s">
        <v>18</v>
      </c>
      <c r="I3596" s="2" t="s">
        <v>63</v>
      </c>
      <c r="J3596" s="2" t="s">
        <v>1413</v>
      </c>
      <c r="K3596" s="2" t="s">
        <v>2356</v>
      </c>
      <c r="L3596" s="3">
        <v>0.39652777777777781</v>
      </c>
      <c r="M3596" s="2" t="s">
        <v>2386</v>
      </c>
      <c r="N3596" s="2" t="s">
        <v>500</v>
      </c>
      <c r="O3596" s="2"/>
    </row>
    <row r="3597" spans="1:15" x14ac:dyDescent="0.25">
      <c r="A3597" s="2" t="s">
        <v>15</v>
      </c>
      <c r="B3597" s="2" t="str">
        <f>"FES1162772153"</f>
        <v>FES1162772153</v>
      </c>
      <c r="C3597" s="2" t="s">
        <v>2282</v>
      </c>
      <c r="D3597" s="2">
        <v>1</v>
      </c>
      <c r="E3597" s="2" t="str">
        <f>"2170759151"</f>
        <v>2170759151</v>
      </c>
      <c r="F3597" s="2" t="s">
        <v>17</v>
      </c>
      <c r="G3597" s="2" t="s">
        <v>18</v>
      </c>
      <c r="H3597" s="2" t="s">
        <v>18</v>
      </c>
      <c r="I3597" s="2" t="s">
        <v>82</v>
      </c>
      <c r="J3597" s="2" t="s">
        <v>2360</v>
      </c>
      <c r="K3597" s="2" t="s">
        <v>2356</v>
      </c>
      <c r="L3597" s="3">
        <v>0.74652777777777779</v>
      </c>
      <c r="M3597" s="2" t="s">
        <v>2385</v>
      </c>
      <c r="N3597" s="2" t="s">
        <v>500</v>
      </c>
      <c r="O3597" s="2"/>
    </row>
    <row r="3598" spans="1:15" x14ac:dyDescent="0.25">
      <c r="A3598" s="2" t="s">
        <v>15</v>
      </c>
      <c r="B3598" s="2" t="str">
        <f>"FES1162772356"</f>
        <v>FES1162772356</v>
      </c>
      <c r="C3598" s="2" t="s">
        <v>2282</v>
      </c>
      <c r="D3598" s="2">
        <v>1</v>
      </c>
      <c r="E3598" s="2" t="str">
        <f>"2170759101"</f>
        <v>2170759101</v>
      </c>
      <c r="F3598" s="2" t="s">
        <v>17</v>
      </c>
      <c r="G3598" s="2" t="s">
        <v>18</v>
      </c>
      <c r="H3598" s="2" t="s">
        <v>25</v>
      </c>
      <c r="I3598" s="2" t="s">
        <v>26</v>
      </c>
      <c r="J3598" s="2" t="s">
        <v>100</v>
      </c>
      <c r="K3598" s="2" t="s">
        <v>2356</v>
      </c>
      <c r="L3598" s="3">
        <v>0.3215277777777778</v>
      </c>
      <c r="M3598" s="2" t="s">
        <v>454</v>
      </c>
      <c r="N3598" s="2" t="s">
        <v>500</v>
      </c>
      <c r="O3598" s="2"/>
    </row>
    <row r="3599" spans="1:15" x14ac:dyDescent="0.25">
      <c r="A3599" s="2" t="s">
        <v>15</v>
      </c>
      <c r="B3599" s="2" t="str">
        <f>"FES1162772100"</f>
        <v>FES1162772100</v>
      </c>
      <c r="C3599" s="2" t="s">
        <v>2282</v>
      </c>
      <c r="D3599" s="2">
        <v>1</v>
      </c>
      <c r="E3599" s="2" t="str">
        <f>"2170757984"</f>
        <v>2170757984</v>
      </c>
      <c r="F3599" s="2" t="s">
        <v>17</v>
      </c>
      <c r="G3599" s="2" t="s">
        <v>18</v>
      </c>
      <c r="H3599" s="2" t="s">
        <v>33</v>
      </c>
      <c r="I3599" s="2" t="s">
        <v>34</v>
      </c>
      <c r="J3599" s="2" t="s">
        <v>626</v>
      </c>
      <c r="K3599" s="2" t="s">
        <v>2356</v>
      </c>
      <c r="L3599" s="3">
        <v>0.41875000000000001</v>
      </c>
      <c r="M3599" s="2" t="s">
        <v>2387</v>
      </c>
      <c r="N3599" s="2" t="s">
        <v>500</v>
      </c>
      <c r="O3599" s="2"/>
    </row>
    <row r="3600" spans="1:15" x14ac:dyDescent="0.25">
      <c r="A3600" s="2" t="s">
        <v>15</v>
      </c>
      <c r="B3600" s="2" t="str">
        <f>"FES1162772155"</f>
        <v>FES1162772155</v>
      </c>
      <c r="C3600" s="2" t="s">
        <v>2282</v>
      </c>
      <c r="D3600" s="2">
        <v>1</v>
      </c>
      <c r="E3600" s="2" t="str">
        <f>"2170759157"</f>
        <v>2170759157</v>
      </c>
      <c r="F3600" s="2" t="s">
        <v>17</v>
      </c>
      <c r="G3600" s="2" t="s">
        <v>18</v>
      </c>
      <c r="H3600" s="2" t="s">
        <v>18</v>
      </c>
      <c r="I3600" s="2" t="s">
        <v>82</v>
      </c>
      <c r="J3600" s="2" t="s">
        <v>2360</v>
      </c>
      <c r="K3600" s="2" t="s">
        <v>2356</v>
      </c>
      <c r="L3600" s="3">
        <v>0.375</v>
      </c>
      <c r="M3600" s="2" t="s">
        <v>2385</v>
      </c>
      <c r="N3600" s="2" t="s">
        <v>500</v>
      </c>
      <c r="O3600" s="2"/>
    </row>
    <row r="3601" spans="1:15" x14ac:dyDescent="0.25">
      <c r="A3601" s="2" t="s">
        <v>15</v>
      </c>
      <c r="B3601" s="2" t="str">
        <f>"FES1162772129"</f>
        <v>FES1162772129</v>
      </c>
      <c r="C3601" s="2" t="s">
        <v>2282</v>
      </c>
      <c r="D3601" s="2">
        <v>1</v>
      </c>
      <c r="E3601" s="2" t="str">
        <f>"2170759124"</f>
        <v>2170759124</v>
      </c>
      <c r="F3601" s="2" t="s">
        <v>17</v>
      </c>
      <c r="G3601" s="2" t="s">
        <v>18</v>
      </c>
      <c r="H3601" s="2" t="s">
        <v>18</v>
      </c>
      <c r="I3601" s="2" t="s">
        <v>46</v>
      </c>
      <c r="J3601" s="2" t="s">
        <v>453</v>
      </c>
      <c r="K3601" s="2" t="s">
        <v>2490</v>
      </c>
      <c r="L3601" s="3">
        <v>0.4375</v>
      </c>
      <c r="M3601" s="2" t="s">
        <v>1278</v>
      </c>
      <c r="N3601" s="2" t="s">
        <v>500</v>
      </c>
      <c r="O3601" s="2"/>
    </row>
    <row r="3602" spans="1:15" x14ac:dyDescent="0.25">
      <c r="A3602" s="2" t="s">
        <v>15</v>
      </c>
      <c r="B3602" s="2" t="str">
        <f>"FES1162772132"</f>
        <v>FES1162772132</v>
      </c>
      <c r="C3602" s="2" t="s">
        <v>2282</v>
      </c>
      <c r="D3602" s="2">
        <v>1</v>
      </c>
      <c r="E3602" s="2" t="str">
        <f>"2170759129"</f>
        <v>2170759129</v>
      </c>
      <c r="F3602" s="2" t="s">
        <v>17</v>
      </c>
      <c r="G3602" s="2" t="s">
        <v>18</v>
      </c>
      <c r="H3602" s="2" t="s">
        <v>18</v>
      </c>
      <c r="I3602" s="2" t="s">
        <v>57</v>
      </c>
      <c r="J3602" s="2" t="s">
        <v>1405</v>
      </c>
      <c r="K3602" s="2" t="s">
        <v>2356</v>
      </c>
      <c r="L3602" s="3">
        <v>0.375</v>
      </c>
      <c r="M3602" s="2" t="s">
        <v>1484</v>
      </c>
      <c r="N3602" s="2" t="s">
        <v>500</v>
      </c>
      <c r="O3602" s="2"/>
    </row>
    <row r="3603" spans="1:15" x14ac:dyDescent="0.25">
      <c r="A3603" s="2" t="s">
        <v>15</v>
      </c>
      <c r="B3603" s="2" t="str">
        <f>"009940283630"</f>
        <v>009940283630</v>
      </c>
      <c r="C3603" s="2" t="s">
        <v>2282</v>
      </c>
      <c r="D3603" s="2">
        <v>1</v>
      </c>
      <c r="E3603" s="2" t="str">
        <f>"RE SEND PARCEL 1162771165"</f>
        <v>RE SEND PARCEL 1162771165</v>
      </c>
      <c r="F3603" s="2" t="s">
        <v>17</v>
      </c>
      <c r="G3603" s="2" t="s">
        <v>18</v>
      </c>
      <c r="H3603" s="2" t="s">
        <v>18</v>
      </c>
      <c r="I3603" s="2" t="s">
        <v>459</v>
      </c>
      <c r="J3603" s="2" t="s">
        <v>460</v>
      </c>
      <c r="K3603" s="2" t="s">
        <v>2356</v>
      </c>
      <c r="L3603" s="3">
        <v>0.43055555555555558</v>
      </c>
      <c r="M3603" s="2" t="s">
        <v>2388</v>
      </c>
      <c r="N3603" s="2" t="s">
        <v>500</v>
      </c>
      <c r="O3603" s="2"/>
    </row>
    <row r="3604" spans="1:15" x14ac:dyDescent="0.25">
      <c r="A3604" s="2" t="s">
        <v>15</v>
      </c>
      <c r="B3604" s="2" t="str">
        <f>"009940283631"</f>
        <v>009940283631</v>
      </c>
      <c r="C3604" s="2" t="s">
        <v>2282</v>
      </c>
      <c r="D3604" s="2">
        <v>1</v>
      </c>
      <c r="E3604" s="2" t="str">
        <f>"1162771164"</f>
        <v>1162771164</v>
      </c>
      <c r="F3604" s="2" t="s">
        <v>17</v>
      </c>
      <c r="G3604" s="2" t="s">
        <v>18</v>
      </c>
      <c r="H3604" s="2" t="s">
        <v>18</v>
      </c>
      <c r="I3604" s="2" t="s">
        <v>459</v>
      </c>
      <c r="J3604" s="2" t="s">
        <v>460</v>
      </c>
      <c r="K3604" s="2" t="s">
        <v>2356</v>
      </c>
      <c r="L3604" s="3">
        <v>0.41666666666666669</v>
      </c>
      <c r="M3604" s="2" t="s">
        <v>2388</v>
      </c>
      <c r="N3604" s="2" t="s">
        <v>500</v>
      </c>
      <c r="O3604" s="2"/>
    </row>
    <row r="3605" spans="1:15" x14ac:dyDescent="0.25">
      <c r="A3605" s="2" t="s">
        <v>15</v>
      </c>
      <c r="B3605" s="2" t="str">
        <f>"FES1162772149"</f>
        <v>FES1162772149</v>
      </c>
      <c r="C3605" s="2" t="s">
        <v>2282</v>
      </c>
      <c r="D3605" s="2">
        <v>1</v>
      </c>
      <c r="E3605" s="2" t="str">
        <f>"2170759156"</f>
        <v>2170759156</v>
      </c>
      <c r="F3605" s="2" t="s">
        <v>17</v>
      </c>
      <c r="G3605" s="2" t="s">
        <v>18</v>
      </c>
      <c r="H3605" s="2" t="s">
        <v>36</v>
      </c>
      <c r="I3605" s="2" t="s">
        <v>37</v>
      </c>
      <c r="J3605" s="2" t="s">
        <v>378</v>
      </c>
      <c r="K3605" s="2" t="s">
        <v>2356</v>
      </c>
      <c r="L3605" s="3">
        <v>0.42708333333333331</v>
      </c>
      <c r="M3605" s="2" t="s">
        <v>379</v>
      </c>
      <c r="N3605" s="2" t="s">
        <v>500</v>
      </c>
      <c r="O3605" s="2"/>
    </row>
    <row r="3606" spans="1:15" x14ac:dyDescent="0.25">
      <c r="A3606" s="2" t="s">
        <v>15</v>
      </c>
      <c r="B3606" s="2" t="str">
        <f>"FES1162772140"</f>
        <v>FES1162772140</v>
      </c>
      <c r="C3606" s="2" t="s">
        <v>2282</v>
      </c>
      <c r="D3606" s="2">
        <v>1</v>
      </c>
      <c r="E3606" s="2" t="str">
        <f>"2170759135"</f>
        <v>2170759135</v>
      </c>
      <c r="F3606" s="2" t="s">
        <v>17</v>
      </c>
      <c r="G3606" s="2" t="s">
        <v>18</v>
      </c>
      <c r="H3606" s="2" t="s">
        <v>36</v>
      </c>
      <c r="I3606" s="2" t="s">
        <v>67</v>
      </c>
      <c r="J3606" s="2" t="s">
        <v>68</v>
      </c>
      <c r="K3606" s="2" t="s">
        <v>2356</v>
      </c>
      <c r="L3606" s="3">
        <v>0.40069444444444446</v>
      </c>
      <c r="M3606" s="2" t="s">
        <v>306</v>
      </c>
      <c r="N3606" s="2" t="s">
        <v>500</v>
      </c>
      <c r="O3606" s="2"/>
    </row>
    <row r="3607" spans="1:15" x14ac:dyDescent="0.25">
      <c r="A3607" s="2" t="s">
        <v>15</v>
      </c>
      <c r="B3607" s="2" t="str">
        <f>"FES1162772133"</f>
        <v>FES1162772133</v>
      </c>
      <c r="C3607" s="2" t="s">
        <v>2282</v>
      </c>
      <c r="D3607" s="2">
        <v>1</v>
      </c>
      <c r="E3607" s="2" t="str">
        <f>"2170759130"</f>
        <v>2170759130</v>
      </c>
      <c r="F3607" s="2" t="s">
        <v>17</v>
      </c>
      <c r="G3607" s="2" t="s">
        <v>18</v>
      </c>
      <c r="H3607" s="2" t="s">
        <v>36</v>
      </c>
      <c r="I3607" s="2" t="s">
        <v>37</v>
      </c>
      <c r="J3607" s="2" t="s">
        <v>104</v>
      </c>
      <c r="K3607" s="2" t="s">
        <v>2356</v>
      </c>
      <c r="L3607" s="3">
        <v>0.40277777777777773</v>
      </c>
      <c r="M3607" s="2" t="s">
        <v>672</v>
      </c>
      <c r="N3607" s="2" t="s">
        <v>500</v>
      </c>
      <c r="O3607" s="2"/>
    </row>
    <row r="3608" spans="1:15" x14ac:dyDescent="0.25">
      <c r="A3608" s="2" t="s">
        <v>15</v>
      </c>
      <c r="B3608" s="2" t="str">
        <f>"FES1162772163"</f>
        <v>FES1162772163</v>
      </c>
      <c r="C3608" s="2" t="s">
        <v>2282</v>
      </c>
      <c r="D3608" s="2">
        <v>1</v>
      </c>
      <c r="E3608" s="2" t="str">
        <f>"2170759162"</f>
        <v>2170759162</v>
      </c>
      <c r="F3608" s="2" t="s">
        <v>17</v>
      </c>
      <c r="G3608" s="2" t="s">
        <v>18</v>
      </c>
      <c r="H3608" s="2" t="s">
        <v>18</v>
      </c>
      <c r="I3608" s="2" t="s">
        <v>46</v>
      </c>
      <c r="J3608" s="2" t="s">
        <v>139</v>
      </c>
      <c r="K3608" s="2" t="s">
        <v>2356</v>
      </c>
      <c r="L3608" s="3">
        <v>0.30208333333333331</v>
      </c>
      <c r="M3608" s="2" t="s">
        <v>2389</v>
      </c>
      <c r="N3608" s="2" t="s">
        <v>500</v>
      </c>
      <c r="O3608" s="2"/>
    </row>
    <row r="3609" spans="1:15" x14ac:dyDescent="0.25">
      <c r="A3609" s="2" t="s">
        <v>15</v>
      </c>
      <c r="B3609" s="2" t="str">
        <f>"FES1162772142"</f>
        <v>FES1162772142</v>
      </c>
      <c r="C3609" s="2" t="s">
        <v>2282</v>
      </c>
      <c r="D3609" s="2">
        <v>1</v>
      </c>
      <c r="E3609" s="2" t="str">
        <f>"2170759143"</f>
        <v>2170759143</v>
      </c>
      <c r="F3609" s="2" t="s">
        <v>17</v>
      </c>
      <c r="G3609" s="2" t="s">
        <v>18</v>
      </c>
      <c r="H3609" s="2" t="s">
        <v>33</v>
      </c>
      <c r="I3609" s="2" t="s">
        <v>34</v>
      </c>
      <c r="J3609" s="2" t="s">
        <v>868</v>
      </c>
      <c r="K3609" s="2" t="s">
        <v>2356</v>
      </c>
      <c r="L3609" s="3">
        <v>0.43333333333333335</v>
      </c>
      <c r="M3609" s="2" t="s">
        <v>2390</v>
      </c>
      <c r="N3609" s="2" t="s">
        <v>500</v>
      </c>
      <c r="O3609" s="2"/>
    </row>
    <row r="3610" spans="1:15" x14ac:dyDescent="0.25">
      <c r="A3610" s="2" t="s">
        <v>15</v>
      </c>
      <c r="B3610" s="2" t="str">
        <f>"FES1162772161"</f>
        <v>FES1162772161</v>
      </c>
      <c r="C3610" s="2" t="s">
        <v>2282</v>
      </c>
      <c r="D3610" s="2">
        <v>1</v>
      </c>
      <c r="E3610" s="2" t="str">
        <f>"2170757589"</f>
        <v>2170757589</v>
      </c>
      <c r="F3610" s="2" t="s">
        <v>17</v>
      </c>
      <c r="G3610" s="2" t="s">
        <v>18</v>
      </c>
      <c r="H3610" s="2" t="s">
        <v>18</v>
      </c>
      <c r="I3610" s="2" t="s">
        <v>82</v>
      </c>
      <c r="J3610" s="2" t="s">
        <v>2360</v>
      </c>
      <c r="K3610" s="2" t="s">
        <v>2356</v>
      </c>
      <c r="L3610" s="3">
        <v>0.4375</v>
      </c>
      <c r="M3610" s="2" t="s">
        <v>2385</v>
      </c>
      <c r="N3610" s="2" t="s">
        <v>500</v>
      </c>
      <c r="O3610" s="2"/>
    </row>
    <row r="3611" spans="1:15" x14ac:dyDescent="0.25">
      <c r="A3611" s="2" t="s">
        <v>15</v>
      </c>
      <c r="B3611" s="2" t="str">
        <f>"FES1162772098"</f>
        <v>FES1162772098</v>
      </c>
      <c r="C3611" s="2" t="s">
        <v>2282</v>
      </c>
      <c r="D3611" s="2">
        <v>1</v>
      </c>
      <c r="E3611" s="2" t="str">
        <f>"2170756661"</f>
        <v>2170756661</v>
      </c>
      <c r="F3611" s="2" t="s">
        <v>17</v>
      </c>
      <c r="G3611" s="2" t="s">
        <v>18</v>
      </c>
      <c r="H3611" s="2" t="s">
        <v>33</v>
      </c>
      <c r="I3611" s="2" t="s">
        <v>34</v>
      </c>
      <c r="J3611" s="2" t="s">
        <v>2362</v>
      </c>
      <c r="K3611" s="2" t="s">
        <v>2356</v>
      </c>
      <c r="L3611" s="3">
        <v>0.41875000000000001</v>
      </c>
      <c r="M3611" s="2" t="s">
        <v>2387</v>
      </c>
      <c r="N3611" s="2" t="s">
        <v>500</v>
      </c>
      <c r="O3611" s="2"/>
    </row>
    <row r="3612" spans="1:15" x14ac:dyDescent="0.25">
      <c r="A3612" s="2" t="s">
        <v>15</v>
      </c>
      <c r="B3612" s="2" t="str">
        <f>"FES1162772097"</f>
        <v>FES1162772097</v>
      </c>
      <c r="C3612" s="2" t="s">
        <v>2282</v>
      </c>
      <c r="D3612" s="2">
        <v>1</v>
      </c>
      <c r="E3612" s="2" t="str">
        <f>"2170756655"</f>
        <v>2170756655</v>
      </c>
      <c r="F3612" s="2" t="s">
        <v>17</v>
      </c>
      <c r="G3612" s="2" t="s">
        <v>18</v>
      </c>
      <c r="H3612" s="2" t="s">
        <v>33</v>
      </c>
      <c r="I3612" s="2" t="s">
        <v>34</v>
      </c>
      <c r="J3612" s="2" t="s">
        <v>626</v>
      </c>
      <c r="K3612" s="2" t="s">
        <v>2356</v>
      </c>
      <c r="L3612" s="3">
        <v>0.4201388888888889</v>
      </c>
      <c r="M3612" s="2" t="s">
        <v>2387</v>
      </c>
      <c r="N3612" s="2" t="s">
        <v>500</v>
      </c>
      <c r="O3612" s="2"/>
    </row>
    <row r="3613" spans="1:15" x14ac:dyDescent="0.25">
      <c r="A3613" s="2" t="s">
        <v>15</v>
      </c>
      <c r="B3613" s="2" t="str">
        <f>"FES1162772134"</f>
        <v>FES1162772134</v>
      </c>
      <c r="C3613" s="2" t="s">
        <v>2282</v>
      </c>
      <c r="D3613" s="2">
        <v>1</v>
      </c>
      <c r="E3613" s="2" t="str">
        <f>"2170759132"</f>
        <v>2170759132</v>
      </c>
      <c r="F3613" s="2" t="s">
        <v>17</v>
      </c>
      <c r="G3613" s="2" t="s">
        <v>18</v>
      </c>
      <c r="H3613" s="2" t="s">
        <v>33</v>
      </c>
      <c r="I3613" s="2" t="s">
        <v>34</v>
      </c>
      <c r="J3613" s="2" t="s">
        <v>152</v>
      </c>
      <c r="K3613" s="2" t="s">
        <v>2356</v>
      </c>
      <c r="L3613" s="3">
        <v>0.43333333333333335</v>
      </c>
      <c r="M3613" s="2" t="s">
        <v>2247</v>
      </c>
      <c r="N3613" s="2" t="s">
        <v>500</v>
      </c>
      <c r="O3613" s="2"/>
    </row>
    <row r="3614" spans="1:15" x14ac:dyDescent="0.25">
      <c r="A3614" s="2" t="s">
        <v>15</v>
      </c>
      <c r="B3614" s="2" t="str">
        <f>"FES1162772257"</f>
        <v>FES1162772257</v>
      </c>
      <c r="C3614" s="2" t="s">
        <v>2282</v>
      </c>
      <c r="D3614" s="2">
        <v>1</v>
      </c>
      <c r="E3614" s="2" t="str">
        <f>"2170758494"</f>
        <v>2170758494</v>
      </c>
      <c r="F3614" s="2" t="s">
        <v>17</v>
      </c>
      <c r="G3614" s="2" t="s">
        <v>18</v>
      </c>
      <c r="H3614" s="2" t="s">
        <v>25</v>
      </c>
      <c r="I3614" s="2" t="s">
        <v>26</v>
      </c>
      <c r="J3614" s="2" t="s">
        <v>94</v>
      </c>
      <c r="K3614" s="2" t="s">
        <v>2356</v>
      </c>
      <c r="L3614" s="3">
        <v>0.41666666666666669</v>
      </c>
      <c r="M3614" s="2" t="s">
        <v>1114</v>
      </c>
      <c r="N3614" s="2" t="s">
        <v>500</v>
      </c>
      <c r="O3614" s="2"/>
    </row>
    <row r="3615" spans="1:15" x14ac:dyDescent="0.25">
      <c r="A3615" s="2" t="s">
        <v>15</v>
      </c>
      <c r="B3615" s="2" t="str">
        <f>"FES1162772245"</f>
        <v>FES1162772245</v>
      </c>
      <c r="C3615" s="2" t="s">
        <v>2282</v>
      </c>
      <c r="D3615" s="2">
        <v>1</v>
      </c>
      <c r="E3615" s="2" t="str">
        <f>"2170757346"</f>
        <v>2170757346</v>
      </c>
      <c r="F3615" s="2" t="s">
        <v>17</v>
      </c>
      <c r="G3615" s="2" t="s">
        <v>18</v>
      </c>
      <c r="H3615" s="2" t="s">
        <v>25</v>
      </c>
      <c r="I3615" s="2" t="s">
        <v>42</v>
      </c>
      <c r="J3615" s="2" t="s">
        <v>416</v>
      </c>
      <c r="K3615" s="2" t="s">
        <v>2356</v>
      </c>
      <c r="L3615" s="3">
        <v>0.52152777777777781</v>
      </c>
      <c r="M3615" s="2" t="s">
        <v>517</v>
      </c>
      <c r="N3615" s="2" t="s">
        <v>500</v>
      </c>
      <c r="O3615" s="2"/>
    </row>
    <row r="3616" spans="1:15" x14ac:dyDescent="0.25">
      <c r="A3616" s="2" t="s">
        <v>15</v>
      </c>
      <c r="B3616" s="2" t="str">
        <f>"FES1162772197"</f>
        <v>FES1162772197</v>
      </c>
      <c r="C3616" s="2" t="s">
        <v>2282</v>
      </c>
      <c r="D3616" s="2">
        <v>1</v>
      </c>
      <c r="E3616" s="2" t="str">
        <f>"2170756884"</f>
        <v>2170756884</v>
      </c>
      <c r="F3616" s="2" t="s">
        <v>17</v>
      </c>
      <c r="G3616" s="2" t="s">
        <v>18</v>
      </c>
      <c r="H3616" s="2" t="s">
        <v>25</v>
      </c>
      <c r="I3616" s="2" t="s">
        <v>42</v>
      </c>
      <c r="J3616" s="2" t="s">
        <v>416</v>
      </c>
      <c r="K3616" s="2" t="s">
        <v>2356</v>
      </c>
      <c r="L3616" s="3">
        <v>0.52152777777777781</v>
      </c>
      <c r="M3616" s="2" t="s">
        <v>517</v>
      </c>
      <c r="N3616" s="2" t="s">
        <v>500</v>
      </c>
      <c r="O3616" s="2"/>
    </row>
    <row r="3617" spans="1:15" x14ac:dyDescent="0.25">
      <c r="A3617" s="2" t="s">
        <v>15</v>
      </c>
      <c r="B3617" s="2" t="str">
        <f>"FES1162772310"</f>
        <v>FES1162772310</v>
      </c>
      <c r="C3617" s="2" t="s">
        <v>2282</v>
      </c>
      <c r="D3617" s="2">
        <v>1</v>
      </c>
      <c r="E3617" s="2" t="str">
        <f>"2170757386"</f>
        <v>2170757386</v>
      </c>
      <c r="F3617" s="2" t="s">
        <v>17</v>
      </c>
      <c r="G3617" s="2" t="s">
        <v>18</v>
      </c>
      <c r="H3617" s="2" t="s">
        <v>25</v>
      </c>
      <c r="I3617" s="2" t="s">
        <v>26</v>
      </c>
      <c r="J3617" s="2" t="s">
        <v>100</v>
      </c>
      <c r="K3617" s="2" t="s">
        <v>2356</v>
      </c>
      <c r="L3617" s="3">
        <v>0.3215277777777778</v>
      </c>
      <c r="M3617" s="2" t="s">
        <v>454</v>
      </c>
      <c r="N3617" s="2" t="s">
        <v>500</v>
      </c>
      <c r="O3617" s="2"/>
    </row>
    <row r="3618" spans="1:15" x14ac:dyDescent="0.25">
      <c r="A3618" s="2" t="s">
        <v>15</v>
      </c>
      <c r="B3618" s="2" t="str">
        <f>"FES1162772263"</f>
        <v>FES1162772263</v>
      </c>
      <c r="C3618" s="2" t="s">
        <v>2282</v>
      </c>
      <c r="D3618" s="2">
        <v>1</v>
      </c>
      <c r="E3618" s="2" t="str">
        <f>"2170758961"</f>
        <v>2170758961</v>
      </c>
      <c r="F3618" s="2" t="s">
        <v>17</v>
      </c>
      <c r="G3618" s="2" t="s">
        <v>18</v>
      </c>
      <c r="H3618" s="2" t="s">
        <v>25</v>
      </c>
      <c r="I3618" s="2" t="s">
        <v>26</v>
      </c>
      <c r="J3618" s="2" t="s">
        <v>100</v>
      </c>
      <c r="K3618" s="2" t="s">
        <v>2356</v>
      </c>
      <c r="L3618" s="3">
        <v>0.3215277777777778</v>
      </c>
      <c r="M3618" s="2" t="s">
        <v>454</v>
      </c>
      <c r="N3618" s="2" t="s">
        <v>500</v>
      </c>
      <c r="O3618" s="2"/>
    </row>
    <row r="3619" spans="1:15" x14ac:dyDescent="0.25">
      <c r="A3619" s="2" t="s">
        <v>15</v>
      </c>
      <c r="B3619" s="2" t="str">
        <f>"FES1162772283"</f>
        <v>FES1162772283</v>
      </c>
      <c r="C3619" s="2" t="s">
        <v>2282</v>
      </c>
      <c r="D3619" s="2">
        <v>1</v>
      </c>
      <c r="E3619" s="2" t="str">
        <f>"2170756820"</f>
        <v>2170756820</v>
      </c>
      <c r="F3619" s="2" t="s">
        <v>17</v>
      </c>
      <c r="G3619" s="2" t="s">
        <v>18</v>
      </c>
      <c r="H3619" s="2" t="s">
        <v>25</v>
      </c>
      <c r="I3619" s="2" t="s">
        <v>26</v>
      </c>
      <c r="J3619" s="2" t="s">
        <v>100</v>
      </c>
      <c r="K3619" s="2" t="s">
        <v>2356</v>
      </c>
      <c r="L3619" s="3">
        <v>0.3215277777777778</v>
      </c>
      <c r="M3619" s="2" t="s">
        <v>454</v>
      </c>
      <c r="N3619" s="2" t="s">
        <v>500</v>
      </c>
      <c r="O3619" s="2"/>
    </row>
    <row r="3620" spans="1:15" x14ac:dyDescent="0.25">
      <c r="A3620" s="2" t="s">
        <v>15</v>
      </c>
      <c r="B3620" s="2" t="str">
        <f>"FES1162772281"</f>
        <v>FES1162772281</v>
      </c>
      <c r="C3620" s="2" t="s">
        <v>2282</v>
      </c>
      <c r="D3620" s="2">
        <v>1</v>
      </c>
      <c r="E3620" s="2" t="str">
        <f>"2170756693"</f>
        <v>2170756693</v>
      </c>
      <c r="F3620" s="2" t="s">
        <v>17</v>
      </c>
      <c r="G3620" s="2" t="s">
        <v>18</v>
      </c>
      <c r="H3620" s="2" t="s">
        <v>30</v>
      </c>
      <c r="I3620" s="2" t="s">
        <v>444</v>
      </c>
      <c r="J3620" s="2" t="s">
        <v>445</v>
      </c>
      <c r="K3620" s="2" t="s">
        <v>2356</v>
      </c>
      <c r="L3620" s="3">
        <v>0.50416666666666665</v>
      </c>
      <c r="M3620" s="2" t="s">
        <v>552</v>
      </c>
      <c r="N3620" s="2" t="s">
        <v>500</v>
      </c>
      <c r="O3620" s="2"/>
    </row>
    <row r="3621" spans="1:15" x14ac:dyDescent="0.25">
      <c r="A3621" s="2" t="s">
        <v>15</v>
      </c>
      <c r="B3621" s="2" t="str">
        <f>"FES1162772189"</f>
        <v>FES1162772189</v>
      </c>
      <c r="C3621" s="2" t="s">
        <v>2282</v>
      </c>
      <c r="D3621" s="2">
        <v>1</v>
      </c>
      <c r="E3621" s="2" t="str">
        <f>"2170756596"</f>
        <v>2170756596</v>
      </c>
      <c r="F3621" s="2" t="s">
        <v>17</v>
      </c>
      <c r="G3621" s="2" t="s">
        <v>18</v>
      </c>
      <c r="H3621" s="2" t="s">
        <v>206</v>
      </c>
      <c r="I3621" s="2" t="s">
        <v>57</v>
      </c>
      <c r="J3621" s="2" t="s">
        <v>91</v>
      </c>
      <c r="K3621" s="2" t="s">
        <v>2356</v>
      </c>
      <c r="L3621" s="3">
        <v>0.2951388888888889</v>
      </c>
      <c r="M3621" s="2" t="s">
        <v>209</v>
      </c>
      <c r="N3621" s="2" t="s">
        <v>500</v>
      </c>
      <c r="O3621" s="2"/>
    </row>
    <row r="3622" spans="1:15" x14ac:dyDescent="0.25">
      <c r="A3622" s="2" t="s">
        <v>15</v>
      </c>
      <c r="B3622" s="2" t="str">
        <f>"FES1162772195"</f>
        <v>FES1162772195</v>
      </c>
      <c r="C3622" s="2" t="s">
        <v>2282</v>
      </c>
      <c r="D3622" s="2">
        <v>1</v>
      </c>
      <c r="E3622" s="2" t="str">
        <f>"2170756876"</f>
        <v>2170756876</v>
      </c>
      <c r="F3622" s="2" t="s">
        <v>17</v>
      </c>
      <c r="G3622" s="2" t="s">
        <v>18</v>
      </c>
      <c r="H3622" s="2" t="s">
        <v>19</v>
      </c>
      <c r="I3622" s="2" t="s">
        <v>20</v>
      </c>
      <c r="J3622" s="2" t="s">
        <v>1302</v>
      </c>
      <c r="K3622" s="2" t="s">
        <v>2356</v>
      </c>
      <c r="L3622" s="3">
        <v>0.36874999999999997</v>
      </c>
      <c r="M3622" s="2" t="s">
        <v>2391</v>
      </c>
      <c r="N3622" s="2" t="s">
        <v>500</v>
      </c>
      <c r="O3622" s="2"/>
    </row>
    <row r="3623" spans="1:15" x14ac:dyDescent="0.25">
      <c r="A3623" s="2" t="s">
        <v>15</v>
      </c>
      <c r="B3623" s="2" t="str">
        <f>"FES1162772351"</f>
        <v>FES1162772351</v>
      </c>
      <c r="C3623" s="2" t="s">
        <v>2282</v>
      </c>
      <c r="D3623" s="2">
        <v>1</v>
      </c>
      <c r="E3623" s="2" t="str">
        <f>"2170759208"</f>
        <v>2170759208</v>
      </c>
      <c r="F3623" s="2" t="s">
        <v>17</v>
      </c>
      <c r="G3623" s="2" t="s">
        <v>18</v>
      </c>
      <c r="H3623" s="2" t="s">
        <v>78</v>
      </c>
      <c r="I3623" s="2" t="s">
        <v>79</v>
      </c>
      <c r="J3623" s="2" t="s">
        <v>113</v>
      </c>
      <c r="K3623" s="2" t="s">
        <v>2356</v>
      </c>
      <c r="L3623" s="3">
        <v>0.39652777777777781</v>
      </c>
      <c r="M3623" s="2" t="s">
        <v>2392</v>
      </c>
      <c r="N3623" s="2" t="s">
        <v>500</v>
      </c>
      <c r="O3623" s="2"/>
    </row>
    <row r="3624" spans="1:15" x14ac:dyDescent="0.25">
      <c r="A3624" s="2" t="s">
        <v>15</v>
      </c>
      <c r="B3624" s="2" t="str">
        <f>"FES1162772294"</f>
        <v>FES1162772294</v>
      </c>
      <c r="C3624" s="2" t="s">
        <v>2282</v>
      </c>
      <c r="D3624" s="2">
        <v>1</v>
      </c>
      <c r="E3624" s="2" t="str">
        <f>"2170757027"</f>
        <v>2170757027</v>
      </c>
      <c r="F3624" s="2" t="s">
        <v>17</v>
      </c>
      <c r="G3624" s="2" t="s">
        <v>18</v>
      </c>
      <c r="H3624" s="2" t="s">
        <v>19</v>
      </c>
      <c r="I3624" s="2" t="s">
        <v>111</v>
      </c>
      <c r="J3624" s="2" t="s">
        <v>112</v>
      </c>
      <c r="K3624" s="2" t="s">
        <v>2356</v>
      </c>
      <c r="L3624" s="3">
        <v>0.51388888888888895</v>
      </c>
      <c r="M3624" s="2" t="s">
        <v>225</v>
      </c>
      <c r="N3624" s="2" t="s">
        <v>500</v>
      </c>
      <c r="O3624" s="2"/>
    </row>
    <row r="3625" spans="1:15" x14ac:dyDescent="0.25">
      <c r="A3625" s="2" t="s">
        <v>15</v>
      </c>
      <c r="B3625" s="2" t="str">
        <f>"FES1162772199"</f>
        <v>FES1162772199</v>
      </c>
      <c r="C3625" s="2" t="s">
        <v>2282</v>
      </c>
      <c r="D3625" s="2">
        <v>1</v>
      </c>
      <c r="E3625" s="2" t="str">
        <f>"2170756886"</f>
        <v>2170756886</v>
      </c>
      <c r="F3625" s="2" t="s">
        <v>17</v>
      </c>
      <c r="G3625" s="2" t="s">
        <v>18</v>
      </c>
      <c r="H3625" s="2" t="s">
        <v>19</v>
      </c>
      <c r="I3625" s="2" t="s">
        <v>149</v>
      </c>
      <c r="J3625" s="2" t="s">
        <v>150</v>
      </c>
      <c r="K3625" s="2" t="s">
        <v>2356</v>
      </c>
      <c r="L3625" s="3">
        <v>0.50763888888888886</v>
      </c>
      <c r="M3625" s="2" t="s">
        <v>246</v>
      </c>
      <c r="N3625" s="2" t="s">
        <v>500</v>
      </c>
      <c r="O3625" s="2"/>
    </row>
    <row r="3626" spans="1:15" x14ac:dyDescent="0.25">
      <c r="A3626" s="2" t="s">
        <v>15</v>
      </c>
      <c r="B3626" s="2" t="str">
        <f>"FES1162772286"</f>
        <v>FES1162772286</v>
      </c>
      <c r="C3626" s="2" t="s">
        <v>2282</v>
      </c>
      <c r="D3626" s="2">
        <v>1</v>
      </c>
      <c r="E3626" s="2" t="str">
        <f>"2170756876"</f>
        <v>2170756876</v>
      </c>
      <c r="F3626" s="2" t="s">
        <v>17</v>
      </c>
      <c r="G3626" s="2" t="s">
        <v>18</v>
      </c>
      <c r="H3626" s="2" t="s">
        <v>19</v>
      </c>
      <c r="I3626" s="2" t="s">
        <v>20</v>
      </c>
      <c r="J3626" s="2" t="s">
        <v>1302</v>
      </c>
      <c r="K3626" s="2" t="s">
        <v>2356</v>
      </c>
      <c r="L3626" s="3">
        <v>0.36805555555555558</v>
      </c>
      <c r="M3626" s="2" t="s">
        <v>2391</v>
      </c>
      <c r="N3626" s="2" t="s">
        <v>500</v>
      </c>
      <c r="O3626" s="2"/>
    </row>
    <row r="3627" spans="1:15" x14ac:dyDescent="0.25">
      <c r="A3627" s="2" t="s">
        <v>15</v>
      </c>
      <c r="B3627" s="2" t="str">
        <f>"FES1162772271"</f>
        <v>FES1162772271</v>
      </c>
      <c r="C3627" s="2" t="s">
        <v>2282</v>
      </c>
      <c r="D3627" s="2">
        <v>1</v>
      </c>
      <c r="E3627" s="2" t="str">
        <f>"2170752985"</f>
        <v>2170752985</v>
      </c>
      <c r="F3627" s="2" t="s">
        <v>17</v>
      </c>
      <c r="G3627" s="2" t="s">
        <v>18</v>
      </c>
      <c r="H3627" s="2" t="s">
        <v>19</v>
      </c>
      <c r="I3627" s="2" t="s">
        <v>20</v>
      </c>
      <c r="J3627" s="2" t="s">
        <v>77</v>
      </c>
      <c r="K3627" s="2" t="s">
        <v>2356</v>
      </c>
      <c r="L3627" s="3">
        <v>0.3444444444444445</v>
      </c>
      <c r="M3627" s="2" t="s">
        <v>198</v>
      </c>
      <c r="N3627" s="2" t="s">
        <v>500</v>
      </c>
      <c r="O3627" s="2"/>
    </row>
    <row r="3628" spans="1:15" x14ac:dyDescent="0.25">
      <c r="A3628" s="2" t="s">
        <v>15</v>
      </c>
      <c r="B3628" s="2" t="str">
        <f>"FES1162772349"</f>
        <v>FES1162772349</v>
      </c>
      <c r="C3628" s="2" t="s">
        <v>2282</v>
      </c>
      <c r="D3628" s="2">
        <v>1</v>
      </c>
      <c r="E3628" s="2" t="str">
        <f>"2170759202"</f>
        <v>2170759202</v>
      </c>
      <c r="F3628" s="2" t="s">
        <v>17</v>
      </c>
      <c r="G3628" s="2" t="s">
        <v>18</v>
      </c>
      <c r="H3628" s="2" t="s">
        <v>19</v>
      </c>
      <c r="I3628" s="2" t="s">
        <v>20</v>
      </c>
      <c r="J3628" s="2" t="s">
        <v>77</v>
      </c>
      <c r="K3628" s="2" t="s">
        <v>2356</v>
      </c>
      <c r="L3628" s="3">
        <v>0.34513888888888888</v>
      </c>
      <c r="M3628" s="2" t="s">
        <v>2393</v>
      </c>
      <c r="N3628" s="2" t="s">
        <v>500</v>
      </c>
      <c r="O3628" s="2"/>
    </row>
    <row r="3629" spans="1:15" x14ac:dyDescent="0.25">
      <c r="A3629" s="2" t="s">
        <v>15</v>
      </c>
      <c r="B3629" s="2" t="str">
        <f>"FES1162772172"</f>
        <v>FES1162772172</v>
      </c>
      <c r="C3629" s="2" t="s">
        <v>2282</v>
      </c>
      <c r="D3629" s="2">
        <v>1</v>
      </c>
      <c r="E3629" s="2" t="str">
        <f>"2170759185"</f>
        <v>2170759185</v>
      </c>
      <c r="F3629" s="2" t="s">
        <v>17</v>
      </c>
      <c r="G3629" s="2" t="s">
        <v>18</v>
      </c>
      <c r="H3629" s="2" t="s">
        <v>19</v>
      </c>
      <c r="I3629" s="2" t="s">
        <v>20</v>
      </c>
      <c r="J3629" s="2" t="s">
        <v>327</v>
      </c>
      <c r="K3629" s="2" t="s">
        <v>2356</v>
      </c>
      <c r="L3629" s="3">
        <v>0.39097222222222222</v>
      </c>
      <c r="M3629" s="2" t="s">
        <v>2394</v>
      </c>
      <c r="N3629" s="2" t="s">
        <v>500</v>
      </c>
      <c r="O3629" s="2"/>
    </row>
    <row r="3630" spans="1:15" x14ac:dyDescent="0.25">
      <c r="A3630" s="2" t="s">
        <v>15</v>
      </c>
      <c r="B3630" s="2" t="str">
        <f>"FES1162772274"</f>
        <v>FES1162772274</v>
      </c>
      <c r="C3630" s="2" t="s">
        <v>2282</v>
      </c>
      <c r="D3630" s="2">
        <v>1</v>
      </c>
      <c r="E3630" s="2" t="str">
        <f>"2170754442"</f>
        <v>2170754442</v>
      </c>
      <c r="F3630" s="2" t="s">
        <v>17</v>
      </c>
      <c r="G3630" s="2" t="s">
        <v>18</v>
      </c>
      <c r="H3630" s="2" t="s">
        <v>19</v>
      </c>
      <c r="I3630" s="2" t="s">
        <v>73</v>
      </c>
      <c r="J3630" s="2" t="s">
        <v>76</v>
      </c>
      <c r="K3630" s="2" t="s">
        <v>2356</v>
      </c>
      <c r="L3630" s="3">
        <v>0.53333333333333333</v>
      </c>
      <c r="M3630" s="2" t="s">
        <v>197</v>
      </c>
      <c r="N3630" s="2" t="s">
        <v>500</v>
      </c>
      <c r="O3630" s="2"/>
    </row>
    <row r="3631" spans="1:15" x14ac:dyDescent="0.25">
      <c r="A3631" s="2" t="s">
        <v>15</v>
      </c>
      <c r="B3631" s="2" t="str">
        <f>"FES1162772184"</f>
        <v>FES1162772184</v>
      </c>
      <c r="C3631" s="2" t="s">
        <v>2282</v>
      </c>
      <c r="D3631" s="2">
        <v>1</v>
      </c>
      <c r="E3631" s="2" t="str">
        <f>"2170754442"</f>
        <v>2170754442</v>
      </c>
      <c r="F3631" s="2" t="s">
        <v>17</v>
      </c>
      <c r="G3631" s="2" t="s">
        <v>18</v>
      </c>
      <c r="H3631" s="2" t="s">
        <v>19</v>
      </c>
      <c r="I3631" s="2" t="s">
        <v>73</v>
      </c>
      <c r="J3631" s="2" t="s">
        <v>76</v>
      </c>
      <c r="K3631" s="2" t="s">
        <v>2356</v>
      </c>
      <c r="L3631" s="3">
        <v>0.53333333333333333</v>
      </c>
      <c r="M3631" s="2" t="s">
        <v>197</v>
      </c>
      <c r="N3631" s="2" t="s">
        <v>500</v>
      </c>
      <c r="O3631" s="2"/>
    </row>
    <row r="3632" spans="1:15" x14ac:dyDescent="0.25">
      <c r="A3632" s="2" t="s">
        <v>15</v>
      </c>
      <c r="B3632" s="2" t="str">
        <f>"FES1162772272"</f>
        <v>FES1162772272</v>
      </c>
      <c r="C3632" s="2" t="s">
        <v>2282</v>
      </c>
      <c r="D3632" s="2">
        <v>1</v>
      </c>
      <c r="E3632" s="2" t="str">
        <f>"2170753036"</f>
        <v>2170753036</v>
      </c>
      <c r="F3632" s="2" t="s">
        <v>17</v>
      </c>
      <c r="G3632" s="2" t="s">
        <v>18</v>
      </c>
      <c r="H3632" s="2" t="s">
        <v>19</v>
      </c>
      <c r="I3632" s="2" t="s">
        <v>20</v>
      </c>
      <c r="J3632" s="2" t="s">
        <v>77</v>
      </c>
      <c r="K3632" s="2" t="s">
        <v>2356</v>
      </c>
      <c r="L3632" s="3">
        <v>0.3444444444444445</v>
      </c>
      <c r="M3632" s="2" t="s">
        <v>198</v>
      </c>
      <c r="N3632" s="2" t="s">
        <v>500</v>
      </c>
      <c r="O3632" s="2"/>
    </row>
    <row r="3633" spans="1:15" x14ac:dyDescent="0.25">
      <c r="A3633" s="2" t="s">
        <v>15</v>
      </c>
      <c r="B3633" s="2" t="str">
        <f>"FES1162772183"</f>
        <v>FES1162772183</v>
      </c>
      <c r="C3633" s="2" t="s">
        <v>2282</v>
      </c>
      <c r="D3633" s="2">
        <v>1</v>
      </c>
      <c r="E3633" s="2" t="str">
        <f>"2170753867"</f>
        <v>2170753867</v>
      </c>
      <c r="F3633" s="2" t="s">
        <v>17</v>
      </c>
      <c r="G3633" s="2" t="s">
        <v>18</v>
      </c>
      <c r="H3633" s="2" t="s">
        <v>19</v>
      </c>
      <c r="I3633" s="2" t="s">
        <v>73</v>
      </c>
      <c r="J3633" s="2" t="s">
        <v>76</v>
      </c>
      <c r="K3633" s="2" t="s">
        <v>2356</v>
      </c>
      <c r="L3633" s="3">
        <v>0.53333333333333333</v>
      </c>
      <c r="M3633" s="2" t="s">
        <v>197</v>
      </c>
      <c r="N3633" s="2" t="s">
        <v>500</v>
      </c>
      <c r="O3633" s="2"/>
    </row>
    <row r="3634" spans="1:15" x14ac:dyDescent="0.25">
      <c r="A3634" s="2" t="s">
        <v>15</v>
      </c>
      <c r="B3634" s="2" t="str">
        <f>"FES1162772261"</f>
        <v>FES1162772261</v>
      </c>
      <c r="C3634" s="2" t="s">
        <v>2282</v>
      </c>
      <c r="D3634" s="2">
        <v>1</v>
      </c>
      <c r="E3634" s="2" t="str">
        <f>"2170758950"</f>
        <v>2170758950</v>
      </c>
      <c r="F3634" s="2" t="s">
        <v>17</v>
      </c>
      <c r="G3634" s="2" t="s">
        <v>18</v>
      </c>
      <c r="H3634" s="2" t="s">
        <v>18</v>
      </c>
      <c r="I3634" s="2" t="s">
        <v>46</v>
      </c>
      <c r="J3634" s="2" t="s">
        <v>896</v>
      </c>
      <c r="K3634" s="2" t="s">
        <v>2356</v>
      </c>
      <c r="L3634" s="3">
        <v>0.32500000000000001</v>
      </c>
      <c r="M3634" s="2" t="s">
        <v>970</v>
      </c>
      <c r="N3634" s="2" t="s">
        <v>500</v>
      </c>
      <c r="O3634" s="2"/>
    </row>
    <row r="3635" spans="1:15" x14ac:dyDescent="0.25">
      <c r="A3635" s="2" t="s">
        <v>15</v>
      </c>
      <c r="B3635" s="2" t="str">
        <f>"FES1162772233"</f>
        <v>FES1162772233</v>
      </c>
      <c r="C3635" s="2" t="s">
        <v>2282</v>
      </c>
      <c r="D3635" s="2">
        <v>1</v>
      </c>
      <c r="E3635" s="2" t="str">
        <f>"2170757206"</f>
        <v>2170757206</v>
      </c>
      <c r="F3635" s="2" t="s">
        <v>17</v>
      </c>
      <c r="G3635" s="2" t="s">
        <v>18</v>
      </c>
      <c r="H3635" s="2" t="s">
        <v>18</v>
      </c>
      <c r="I3635" s="2" t="s">
        <v>290</v>
      </c>
      <c r="J3635" s="2" t="s">
        <v>2363</v>
      </c>
      <c r="K3635" s="2" t="s">
        <v>2356</v>
      </c>
      <c r="L3635" s="3">
        <v>0.4375</v>
      </c>
      <c r="M3635" s="2" t="s">
        <v>2395</v>
      </c>
      <c r="N3635" s="2" t="s">
        <v>500</v>
      </c>
      <c r="O3635" s="2"/>
    </row>
    <row r="3636" spans="1:15" x14ac:dyDescent="0.25">
      <c r="A3636" s="2" t="s">
        <v>15</v>
      </c>
      <c r="B3636" s="2" t="str">
        <f>"FES1162772251"</f>
        <v>FES1162772251</v>
      </c>
      <c r="C3636" s="2" t="s">
        <v>2282</v>
      </c>
      <c r="D3636" s="2">
        <v>1</v>
      </c>
      <c r="E3636" s="2" t="str">
        <f>"2170757877"</f>
        <v>2170757877</v>
      </c>
      <c r="F3636" s="2" t="s">
        <v>17</v>
      </c>
      <c r="G3636" s="2" t="s">
        <v>18</v>
      </c>
      <c r="H3636" s="2" t="s">
        <v>18</v>
      </c>
      <c r="I3636" s="2" t="s">
        <v>46</v>
      </c>
      <c r="J3636" s="2" t="s">
        <v>915</v>
      </c>
      <c r="K3636" s="2" t="s">
        <v>2356</v>
      </c>
      <c r="L3636" s="3">
        <v>0.30624999999999997</v>
      </c>
      <c r="M3636" s="2" t="s">
        <v>1219</v>
      </c>
      <c r="N3636" s="2" t="s">
        <v>500</v>
      </c>
      <c r="O3636" s="2"/>
    </row>
    <row r="3637" spans="1:15" x14ac:dyDescent="0.25">
      <c r="A3637" s="2" t="s">
        <v>15</v>
      </c>
      <c r="B3637" s="2" t="str">
        <f>"FES1162772179"</f>
        <v>FES1162772179</v>
      </c>
      <c r="C3637" s="2" t="s">
        <v>2282</v>
      </c>
      <c r="D3637" s="2">
        <v>1</v>
      </c>
      <c r="E3637" s="2" t="str">
        <f>"2170759196"</f>
        <v>2170759196</v>
      </c>
      <c r="F3637" s="2" t="s">
        <v>17</v>
      </c>
      <c r="G3637" s="2" t="s">
        <v>18</v>
      </c>
      <c r="H3637" s="2" t="s">
        <v>18</v>
      </c>
      <c r="I3637" s="2" t="s">
        <v>157</v>
      </c>
      <c r="J3637" s="2" t="s">
        <v>158</v>
      </c>
      <c r="K3637" s="2" t="s">
        <v>2384</v>
      </c>
      <c r="L3637" s="3">
        <v>0.59027777777777779</v>
      </c>
      <c r="M3637" s="2" t="s">
        <v>253</v>
      </c>
      <c r="N3637" s="2" t="s">
        <v>500</v>
      </c>
      <c r="O3637" s="2"/>
    </row>
    <row r="3638" spans="1:15" x14ac:dyDescent="0.25">
      <c r="A3638" s="2" t="s">
        <v>15</v>
      </c>
      <c r="B3638" s="2" t="str">
        <f>"FES1162772262"</f>
        <v>FES1162772262</v>
      </c>
      <c r="C3638" s="2" t="s">
        <v>2282</v>
      </c>
      <c r="D3638" s="2">
        <v>1</v>
      </c>
      <c r="E3638" s="2" t="str">
        <f>"2170758959"</f>
        <v>2170758959</v>
      </c>
      <c r="F3638" s="2" t="s">
        <v>17</v>
      </c>
      <c r="G3638" s="2" t="s">
        <v>18</v>
      </c>
      <c r="H3638" s="2" t="s">
        <v>25</v>
      </c>
      <c r="I3638" s="2" t="s">
        <v>624</v>
      </c>
      <c r="J3638" s="2" t="s">
        <v>625</v>
      </c>
      <c r="K3638" s="2" t="s">
        <v>2384</v>
      </c>
      <c r="L3638" s="3">
        <v>0.41666666666666669</v>
      </c>
      <c r="M3638" s="2" t="s">
        <v>2513</v>
      </c>
      <c r="N3638" s="2" t="s">
        <v>500</v>
      </c>
      <c r="O3638" s="2"/>
    </row>
    <row r="3639" spans="1:15" x14ac:dyDescent="0.25">
      <c r="A3639" s="2" t="s">
        <v>15</v>
      </c>
      <c r="B3639" s="2" t="str">
        <f>"FES1162772201"</f>
        <v>FES1162772201</v>
      </c>
      <c r="C3639" s="2" t="s">
        <v>2282</v>
      </c>
      <c r="D3639" s="2">
        <v>1</v>
      </c>
      <c r="E3639" s="2" t="str">
        <f>"2170756893"</f>
        <v>2170756893</v>
      </c>
      <c r="F3639" s="2" t="s">
        <v>17</v>
      </c>
      <c r="G3639" s="2" t="s">
        <v>18</v>
      </c>
      <c r="H3639" s="2" t="s">
        <v>25</v>
      </c>
      <c r="I3639" s="2" t="s">
        <v>42</v>
      </c>
      <c r="J3639" s="2" t="s">
        <v>1234</v>
      </c>
      <c r="K3639" s="2" t="s">
        <v>2356</v>
      </c>
      <c r="L3639" s="3">
        <v>0.5180555555555556</v>
      </c>
      <c r="M3639" s="2" t="s">
        <v>2396</v>
      </c>
      <c r="N3639" s="2" t="s">
        <v>500</v>
      </c>
      <c r="O3639" s="2"/>
    </row>
    <row r="3640" spans="1:15" x14ac:dyDescent="0.25">
      <c r="A3640" s="2" t="s">
        <v>15</v>
      </c>
      <c r="B3640" s="2" t="str">
        <f>"FES1162772241"</f>
        <v>FES1162772241</v>
      </c>
      <c r="C3640" s="2" t="s">
        <v>2282</v>
      </c>
      <c r="D3640" s="2">
        <v>1</v>
      </c>
      <c r="E3640" s="2" t="str">
        <f>"2170757328"</f>
        <v>2170757328</v>
      </c>
      <c r="F3640" s="2" t="s">
        <v>17</v>
      </c>
      <c r="G3640" s="2" t="s">
        <v>18</v>
      </c>
      <c r="H3640" s="2" t="s">
        <v>25</v>
      </c>
      <c r="I3640" s="2" t="s">
        <v>42</v>
      </c>
      <c r="J3640" s="2" t="s">
        <v>872</v>
      </c>
      <c r="K3640" s="2" t="s">
        <v>2356</v>
      </c>
      <c r="L3640" s="3">
        <v>0.53680555555555554</v>
      </c>
      <c r="M3640" s="2" t="s">
        <v>1978</v>
      </c>
      <c r="N3640" s="2" t="s">
        <v>500</v>
      </c>
      <c r="O3640" s="2"/>
    </row>
    <row r="3641" spans="1:15" x14ac:dyDescent="0.25">
      <c r="A3641" s="2" t="s">
        <v>15</v>
      </c>
      <c r="B3641" s="2" t="str">
        <f>"FES1162772289"</f>
        <v>FES1162772289</v>
      </c>
      <c r="C3641" s="2" t="s">
        <v>2282</v>
      </c>
      <c r="D3641" s="2">
        <v>1</v>
      </c>
      <c r="E3641" s="2" t="str">
        <f>"2170756974"</f>
        <v>2170756974</v>
      </c>
      <c r="F3641" s="2" t="s">
        <v>17</v>
      </c>
      <c r="G3641" s="2" t="s">
        <v>18</v>
      </c>
      <c r="H3641" s="2" t="s">
        <v>25</v>
      </c>
      <c r="I3641" s="2" t="s">
        <v>26</v>
      </c>
      <c r="J3641" s="2" t="s">
        <v>1287</v>
      </c>
      <c r="K3641" s="2" t="s">
        <v>2356</v>
      </c>
      <c r="L3641" s="3">
        <v>0.41180555555555554</v>
      </c>
      <c r="M3641" s="2" t="s">
        <v>1779</v>
      </c>
      <c r="N3641" s="2" t="s">
        <v>500</v>
      </c>
      <c r="O3641" s="2"/>
    </row>
    <row r="3642" spans="1:15" x14ac:dyDescent="0.25">
      <c r="A3642" s="2" t="s">
        <v>15</v>
      </c>
      <c r="B3642" s="2" t="str">
        <f>"FES1162772306"</f>
        <v>FES1162772306</v>
      </c>
      <c r="C3642" s="2" t="s">
        <v>2282</v>
      </c>
      <c r="D3642" s="2">
        <v>1</v>
      </c>
      <c r="E3642" s="2" t="str">
        <f>"2170757363"</f>
        <v>2170757363</v>
      </c>
      <c r="F3642" s="2" t="s">
        <v>17</v>
      </c>
      <c r="G3642" s="2" t="s">
        <v>18</v>
      </c>
      <c r="H3642" s="2" t="s">
        <v>25</v>
      </c>
      <c r="I3642" s="2" t="s">
        <v>42</v>
      </c>
      <c r="J3642" s="2" t="s">
        <v>1441</v>
      </c>
      <c r="K3642" s="2" t="s">
        <v>2356</v>
      </c>
      <c r="L3642" s="3">
        <v>0.54166666666666663</v>
      </c>
      <c r="M3642" s="2" t="s">
        <v>2397</v>
      </c>
      <c r="N3642" s="2" t="s">
        <v>500</v>
      </c>
      <c r="O3642" s="2"/>
    </row>
    <row r="3643" spans="1:15" x14ac:dyDescent="0.25">
      <c r="A3643" s="2" t="s">
        <v>15</v>
      </c>
      <c r="B3643" s="2" t="str">
        <f>"FES1162772331"</f>
        <v>FES1162772331</v>
      </c>
      <c r="C3643" s="2" t="s">
        <v>2282</v>
      </c>
      <c r="D3643" s="2">
        <v>1</v>
      </c>
      <c r="E3643" s="2" t="str">
        <f>"2170757482"</f>
        <v>2170757482</v>
      </c>
      <c r="F3643" s="2" t="s">
        <v>17</v>
      </c>
      <c r="G3643" s="2" t="s">
        <v>18</v>
      </c>
      <c r="H3643" s="2" t="s">
        <v>25</v>
      </c>
      <c r="I3643" s="2" t="s">
        <v>26</v>
      </c>
      <c r="J3643" s="2" t="s">
        <v>417</v>
      </c>
      <c r="K3643" s="2" t="s">
        <v>2356</v>
      </c>
      <c r="L3643" s="3">
        <v>0.40069444444444446</v>
      </c>
      <c r="M3643" s="2" t="s">
        <v>519</v>
      </c>
      <c r="N3643" s="2" t="s">
        <v>500</v>
      </c>
      <c r="O3643" s="2"/>
    </row>
    <row r="3644" spans="1:15" x14ac:dyDescent="0.25">
      <c r="A3644" s="2" t="s">
        <v>15</v>
      </c>
      <c r="B3644" s="2" t="str">
        <f>"FES1162772209"</f>
        <v>FES1162772209</v>
      </c>
      <c r="C3644" s="2" t="s">
        <v>2282</v>
      </c>
      <c r="D3644" s="2">
        <v>1</v>
      </c>
      <c r="E3644" s="2" t="str">
        <f>"2170756972"</f>
        <v>2170756972</v>
      </c>
      <c r="F3644" s="2" t="s">
        <v>17</v>
      </c>
      <c r="G3644" s="2" t="s">
        <v>18</v>
      </c>
      <c r="H3644" s="2" t="s">
        <v>25</v>
      </c>
      <c r="I3644" s="2" t="s">
        <v>26</v>
      </c>
      <c r="J3644" s="2" t="s">
        <v>1287</v>
      </c>
      <c r="K3644" s="2" t="s">
        <v>2356</v>
      </c>
      <c r="L3644" s="3">
        <v>0.41180555555555554</v>
      </c>
      <c r="M3644" s="2" t="s">
        <v>1779</v>
      </c>
      <c r="N3644" s="2" t="s">
        <v>500</v>
      </c>
      <c r="O3644" s="2"/>
    </row>
    <row r="3645" spans="1:15" x14ac:dyDescent="0.25">
      <c r="A3645" s="2" t="s">
        <v>15</v>
      </c>
      <c r="B3645" s="2" t="str">
        <f>"FES1162772171"</f>
        <v>FES1162772171</v>
      </c>
      <c r="C3645" s="2" t="s">
        <v>2282</v>
      </c>
      <c r="D3645" s="2">
        <v>1</v>
      </c>
      <c r="E3645" s="2" t="str">
        <f>"2170759182"</f>
        <v>2170759182</v>
      </c>
      <c r="F3645" s="2" t="s">
        <v>17</v>
      </c>
      <c r="G3645" s="2" t="s">
        <v>18</v>
      </c>
      <c r="H3645" s="2" t="s">
        <v>25</v>
      </c>
      <c r="I3645" s="2" t="s">
        <v>26</v>
      </c>
      <c r="J3645" s="2" t="s">
        <v>27</v>
      </c>
      <c r="K3645" s="2" t="s">
        <v>2356</v>
      </c>
      <c r="L3645" s="3">
        <v>0.39583333333333331</v>
      </c>
      <c r="M3645" s="2" t="s">
        <v>521</v>
      </c>
      <c r="N3645" s="2" t="s">
        <v>500</v>
      </c>
      <c r="O3645" s="2"/>
    </row>
    <row r="3646" spans="1:15" x14ac:dyDescent="0.25">
      <c r="A3646" s="2" t="s">
        <v>15</v>
      </c>
      <c r="B3646" s="2" t="str">
        <f>"FES1162772178"</f>
        <v>FES1162772178</v>
      </c>
      <c r="C3646" s="2" t="s">
        <v>2282</v>
      </c>
      <c r="D3646" s="2">
        <v>1</v>
      </c>
      <c r="E3646" s="2" t="str">
        <f>"2170759195"</f>
        <v>2170759195</v>
      </c>
      <c r="F3646" s="2" t="s">
        <v>17</v>
      </c>
      <c r="G3646" s="2" t="s">
        <v>18</v>
      </c>
      <c r="H3646" s="2" t="s">
        <v>25</v>
      </c>
      <c r="I3646" s="2" t="s">
        <v>624</v>
      </c>
      <c r="J3646" s="2" t="s">
        <v>625</v>
      </c>
      <c r="K3646" s="2" t="s">
        <v>2384</v>
      </c>
      <c r="L3646" s="3">
        <v>0.41666666666666669</v>
      </c>
      <c r="M3646" s="2" t="s">
        <v>2513</v>
      </c>
      <c r="N3646" s="2" t="s">
        <v>500</v>
      </c>
      <c r="O3646" s="2"/>
    </row>
    <row r="3647" spans="1:15" x14ac:dyDescent="0.25">
      <c r="A3647" s="2" t="s">
        <v>15</v>
      </c>
      <c r="B3647" s="2" t="str">
        <f>"FES1162772239"</f>
        <v>FES1162772239</v>
      </c>
      <c r="C3647" s="2" t="s">
        <v>2282</v>
      </c>
      <c r="D3647" s="2">
        <v>1</v>
      </c>
      <c r="E3647" s="2" t="str">
        <f>"2170757318"</f>
        <v>2170757318</v>
      </c>
      <c r="F3647" s="2" t="s">
        <v>17</v>
      </c>
      <c r="G3647" s="2" t="s">
        <v>18</v>
      </c>
      <c r="H3647" s="2" t="s">
        <v>78</v>
      </c>
      <c r="I3647" s="2" t="s">
        <v>79</v>
      </c>
      <c r="J3647" s="2" t="s">
        <v>113</v>
      </c>
      <c r="K3647" s="2" t="s">
        <v>2356</v>
      </c>
      <c r="L3647" s="3">
        <v>0.3972222222222222</v>
      </c>
      <c r="M3647" s="2" t="s">
        <v>2392</v>
      </c>
      <c r="N3647" s="2" t="s">
        <v>500</v>
      </c>
      <c r="O3647" s="2"/>
    </row>
    <row r="3648" spans="1:15" x14ac:dyDescent="0.25">
      <c r="A3648" s="2" t="s">
        <v>15</v>
      </c>
      <c r="B3648" s="2" t="str">
        <f>"FES1162772223"</f>
        <v>FES1162772223</v>
      </c>
      <c r="C3648" s="2" t="s">
        <v>2282</v>
      </c>
      <c r="D3648" s="2">
        <v>1</v>
      </c>
      <c r="E3648" s="2" t="str">
        <f>"2170757107"</f>
        <v>2170757107</v>
      </c>
      <c r="F3648" s="2" t="s">
        <v>17</v>
      </c>
      <c r="G3648" s="2" t="s">
        <v>18</v>
      </c>
      <c r="H3648" s="2" t="s">
        <v>19</v>
      </c>
      <c r="I3648" s="2" t="s">
        <v>20</v>
      </c>
      <c r="J3648" s="2" t="s">
        <v>428</v>
      </c>
      <c r="K3648" s="2" t="s">
        <v>2356</v>
      </c>
      <c r="L3648" s="3">
        <v>0.40833333333333338</v>
      </c>
      <c r="M3648" s="2" t="s">
        <v>1383</v>
      </c>
      <c r="N3648" s="2" t="s">
        <v>500</v>
      </c>
      <c r="O3648" s="2"/>
    </row>
    <row r="3649" spans="1:15" x14ac:dyDescent="0.25">
      <c r="A3649" s="2" t="s">
        <v>15</v>
      </c>
      <c r="B3649" s="2" t="str">
        <f>"FES1162772346"</f>
        <v>FES1162772346</v>
      </c>
      <c r="C3649" s="2" t="s">
        <v>2282</v>
      </c>
      <c r="D3649" s="2">
        <v>1</v>
      </c>
      <c r="E3649" s="2" t="str">
        <f>"2170758687"</f>
        <v>2170758687</v>
      </c>
      <c r="F3649" s="2" t="s">
        <v>17</v>
      </c>
      <c r="G3649" s="2" t="s">
        <v>18</v>
      </c>
      <c r="H3649" s="2" t="s">
        <v>78</v>
      </c>
      <c r="I3649" s="2" t="s">
        <v>79</v>
      </c>
      <c r="J3649" s="2" t="s">
        <v>80</v>
      </c>
      <c r="K3649" s="2" t="s">
        <v>2356</v>
      </c>
      <c r="L3649" s="3">
        <v>0.40625</v>
      </c>
      <c r="M3649" s="2" t="s">
        <v>199</v>
      </c>
      <c r="N3649" s="2" t="s">
        <v>500</v>
      </c>
      <c r="O3649" s="2"/>
    </row>
    <row r="3650" spans="1:15" x14ac:dyDescent="0.25">
      <c r="A3650" s="2" t="s">
        <v>15</v>
      </c>
      <c r="B3650" s="2" t="str">
        <f>"FES1162772326"</f>
        <v>FES1162772326</v>
      </c>
      <c r="C3650" s="2" t="s">
        <v>2282</v>
      </c>
      <c r="D3650" s="2">
        <v>1</v>
      </c>
      <c r="E3650" s="2" t="str">
        <f>"2170757470"</f>
        <v>2170757470</v>
      </c>
      <c r="F3650" s="2" t="s">
        <v>17</v>
      </c>
      <c r="G3650" s="2" t="s">
        <v>18</v>
      </c>
      <c r="H3650" s="2" t="s">
        <v>19</v>
      </c>
      <c r="I3650" s="2" t="s">
        <v>111</v>
      </c>
      <c r="J3650" s="2" t="s">
        <v>385</v>
      </c>
      <c r="K3650" s="2" t="s">
        <v>2356</v>
      </c>
      <c r="L3650" s="3">
        <v>0.44930555555555557</v>
      </c>
      <c r="M3650" s="2" t="s">
        <v>573</v>
      </c>
      <c r="N3650" s="2" t="s">
        <v>500</v>
      </c>
      <c r="O3650" s="2"/>
    </row>
    <row r="3651" spans="1:15" x14ac:dyDescent="0.25">
      <c r="A3651" s="2" t="s">
        <v>15</v>
      </c>
      <c r="B3651" s="2" t="str">
        <f>"FES1162772213"</f>
        <v>FES1162772213</v>
      </c>
      <c r="C3651" s="2" t="s">
        <v>2282</v>
      </c>
      <c r="D3651" s="2">
        <v>1</v>
      </c>
      <c r="E3651" s="2" t="str">
        <f>"2170756995"</f>
        <v>2170756995</v>
      </c>
      <c r="F3651" s="2" t="s">
        <v>17</v>
      </c>
      <c r="G3651" s="2" t="s">
        <v>18</v>
      </c>
      <c r="H3651" s="2" t="s">
        <v>18</v>
      </c>
      <c r="I3651" s="2" t="s">
        <v>82</v>
      </c>
      <c r="J3651" s="2" t="s">
        <v>83</v>
      </c>
      <c r="K3651" s="2" t="s">
        <v>2356</v>
      </c>
      <c r="L3651" s="3">
        <v>0.37222222222222223</v>
      </c>
      <c r="M3651" s="2" t="s">
        <v>2032</v>
      </c>
      <c r="N3651" s="2" t="s">
        <v>500</v>
      </c>
      <c r="O3651" s="2"/>
    </row>
    <row r="3652" spans="1:15" x14ac:dyDescent="0.25">
      <c r="A3652" s="2" t="s">
        <v>15</v>
      </c>
      <c r="B3652" s="2" t="str">
        <f>"FES1162772166"</f>
        <v>FES1162772166</v>
      </c>
      <c r="C3652" s="2" t="s">
        <v>2282</v>
      </c>
      <c r="D3652" s="2">
        <v>1</v>
      </c>
      <c r="E3652" s="2" t="str">
        <f>"2170759177"</f>
        <v>2170759177</v>
      </c>
      <c r="F3652" s="2" t="s">
        <v>17</v>
      </c>
      <c r="G3652" s="2" t="s">
        <v>18</v>
      </c>
      <c r="H3652" s="2" t="s">
        <v>18</v>
      </c>
      <c r="I3652" s="2" t="s">
        <v>65</v>
      </c>
      <c r="J3652" s="2" t="s">
        <v>66</v>
      </c>
      <c r="K3652" s="2" t="s">
        <v>2356</v>
      </c>
      <c r="L3652" s="3">
        <v>0.36458333333333331</v>
      </c>
      <c r="M3652" s="2" t="s">
        <v>189</v>
      </c>
      <c r="N3652" s="2" t="s">
        <v>500</v>
      </c>
      <c r="O3652" s="2"/>
    </row>
    <row r="3653" spans="1:15" x14ac:dyDescent="0.25">
      <c r="A3653" s="2" t="s">
        <v>15</v>
      </c>
      <c r="B3653" s="2" t="str">
        <f>"FES1162772320"</f>
        <v>FES1162772320</v>
      </c>
      <c r="C3653" s="2" t="s">
        <v>2282</v>
      </c>
      <c r="D3653" s="2">
        <v>1</v>
      </c>
      <c r="E3653" s="2" t="str">
        <f>"2170757433"</f>
        <v>2170757433</v>
      </c>
      <c r="F3653" s="2" t="s">
        <v>17</v>
      </c>
      <c r="G3653" s="2" t="s">
        <v>18</v>
      </c>
      <c r="H3653" s="2" t="s">
        <v>19</v>
      </c>
      <c r="I3653" s="2" t="s">
        <v>73</v>
      </c>
      <c r="J3653" s="2" t="s">
        <v>76</v>
      </c>
      <c r="K3653" s="2" t="s">
        <v>2356</v>
      </c>
      <c r="L3653" s="3">
        <v>0.53333333333333333</v>
      </c>
      <c r="M3653" s="2" t="s">
        <v>197</v>
      </c>
      <c r="N3653" s="2" t="s">
        <v>500</v>
      </c>
      <c r="O3653" s="2"/>
    </row>
    <row r="3654" spans="1:15" x14ac:dyDescent="0.25">
      <c r="A3654" s="2" t="s">
        <v>15</v>
      </c>
      <c r="B3654" s="2" t="str">
        <f>"FES1162772173"</f>
        <v>FES1162772173</v>
      </c>
      <c r="C3654" s="2" t="s">
        <v>2282</v>
      </c>
      <c r="D3654" s="2">
        <v>1</v>
      </c>
      <c r="E3654" s="2" t="str">
        <f>"2170759187"</f>
        <v>2170759187</v>
      </c>
      <c r="F3654" s="2" t="s">
        <v>17</v>
      </c>
      <c r="G3654" s="2" t="s">
        <v>18</v>
      </c>
      <c r="H3654" s="2" t="s">
        <v>19</v>
      </c>
      <c r="I3654" s="2" t="s">
        <v>20</v>
      </c>
      <c r="J3654" s="2" t="s">
        <v>327</v>
      </c>
      <c r="K3654" s="2" t="s">
        <v>2356</v>
      </c>
      <c r="L3654" s="3">
        <v>0.39097222222222222</v>
      </c>
      <c r="M3654" s="2" t="s">
        <v>2394</v>
      </c>
      <c r="N3654" s="2" t="s">
        <v>500</v>
      </c>
      <c r="O3654" s="2"/>
    </row>
    <row r="3655" spans="1:15" x14ac:dyDescent="0.25">
      <c r="A3655" s="2" t="s">
        <v>15</v>
      </c>
      <c r="B3655" s="2" t="str">
        <f>"FES1162772200"</f>
        <v>FES1162772200</v>
      </c>
      <c r="C3655" s="2" t="s">
        <v>2282</v>
      </c>
      <c r="D3655" s="2">
        <v>1</v>
      </c>
      <c r="E3655" s="2" t="str">
        <f>"2170756887"</f>
        <v>2170756887</v>
      </c>
      <c r="F3655" s="2" t="s">
        <v>17</v>
      </c>
      <c r="G3655" s="2" t="s">
        <v>18</v>
      </c>
      <c r="H3655" s="2" t="s">
        <v>18</v>
      </c>
      <c r="I3655" s="2" t="s">
        <v>478</v>
      </c>
      <c r="J3655" s="2" t="s">
        <v>778</v>
      </c>
      <c r="K3655" s="2" t="s">
        <v>2356</v>
      </c>
      <c r="L3655" s="3">
        <v>0.33749999999999997</v>
      </c>
      <c r="M3655" s="2" t="s">
        <v>842</v>
      </c>
      <c r="N3655" s="2" t="s">
        <v>500</v>
      </c>
      <c r="O3655" s="2"/>
    </row>
    <row r="3656" spans="1:15" x14ac:dyDescent="0.25">
      <c r="A3656" s="2" t="s">
        <v>15</v>
      </c>
      <c r="B3656" s="2" t="str">
        <f>"FES1162772250"</f>
        <v>FES1162772250</v>
      </c>
      <c r="C3656" s="2" t="s">
        <v>2282</v>
      </c>
      <c r="D3656" s="2">
        <v>1</v>
      </c>
      <c r="E3656" s="2" t="str">
        <f>"2170757474"</f>
        <v>2170757474</v>
      </c>
      <c r="F3656" s="2" t="s">
        <v>17</v>
      </c>
      <c r="G3656" s="2" t="s">
        <v>18</v>
      </c>
      <c r="H3656" s="2" t="s">
        <v>88</v>
      </c>
      <c r="I3656" s="2" t="s">
        <v>612</v>
      </c>
      <c r="J3656" s="2" t="s">
        <v>1126</v>
      </c>
      <c r="K3656" s="2" t="s">
        <v>2356</v>
      </c>
      <c r="L3656" s="3">
        <v>0.64722222222222225</v>
      </c>
      <c r="M3656" s="2" t="s">
        <v>2398</v>
      </c>
      <c r="N3656" s="2" t="s">
        <v>500</v>
      </c>
      <c r="O3656" s="2"/>
    </row>
    <row r="3657" spans="1:15" x14ac:dyDescent="0.25">
      <c r="A3657" s="2" t="s">
        <v>15</v>
      </c>
      <c r="B3657" s="2" t="str">
        <f>"FES1162772232"</f>
        <v>FES1162772232</v>
      </c>
      <c r="C3657" s="2" t="s">
        <v>2282</v>
      </c>
      <c r="D3657" s="2">
        <v>1</v>
      </c>
      <c r="E3657" s="2" t="str">
        <f>"2170757202"</f>
        <v>2170757202</v>
      </c>
      <c r="F3657" s="2" t="s">
        <v>17</v>
      </c>
      <c r="G3657" s="2" t="s">
        <v>18</v>
      </c>
      <c r="H3657" s="2" t="s">
        <v>18</v>
      </c>
      <c r="I3657" s="2" t="s">
        <v>46</v>
      </c>
      <c r="J3657" s="2" t="s">
        <v>168</v>
      </c>
      <c r="K3657" s="2" t="s">
        <v>2356</v>
      </c>
      <c r="L3657" s="3">
        <v>0.37291666666666662</v>
      </c>
      <c r="M3657" s="2" t="s">
        <v>1478</v>
      </c>
      <c r="N3657" s="2" t="s">
        <v>500</v>
      </c>
      <c r="O3657" s="2"/>
    </row>
    <row r="3658" spans="1:15" x14ac:dyDescent="0.25">
      <c r="A3658" s="2" t="s">
        <v>15</v>
      </c>
      <c r="B3658" s="2" t="str">
        <f>"FES1162772330"</f>
        <v>FES1162772330</v>
      </c>
      <c r="C3658" s="2" t="s">
        <v>2282</v>
      </c>
      <c r="D3658" s="2">
        <v>1</v>
      </c>
      <c r="E3658" s="2" t="str">
        <f>"2170757481"</f>
        <v>2170757481</v>
      </c>
      <c r="F3658" s="2" t="s">
        <v>17</v>
      </c>
      <c r="G3658" s="2" t="s">
        <v>18</v>
      </c>
      <c r="H3658" s="2" t="s">
        <v>18</v>
      </c>
      <c r="I3658" s="2" t="s">
        <v>46</v>
      </c>
      <c r="J3658" s="2" t="s">
        <v>2364</v>
      </c>
      <c r="K3658" s="2" t="s">
        <v>2356</v>
      </c>
      <c r="L3658" s="3">
        <v>0.41319444444444442</v>
      </c>
      <c r="M3658" s="2" t="s">
        <v>2399</v>
      </c>
      <c r="N3658" s="2" t="s">
        <v>500</v>
      </c>
      <c r="O3658" s="2"/>
    </row>
    <row r="3659" spans="1:15" x14ac:dyDescent="0.25">
      <c r="A3659" s="2" t="s">
        <v>15</v>
      </c>
      <c r="B3659" s="2" t="str">
        <f>"FES1162772367"</f>
        <v>FES1162772367</v>
      </c>
      <c r="C3659" s="2" t="s">
        <v>2282</v>
      </c>
      <c r="D3659" s="2">
        <v>1</v>
      </c>
      <c r="E3659" s="2" t="str">
        <f>"2170759229"</f>
        <v>2170759229</v>
      </c>
      <c r="F3659" s="2" t="s">
        <v>17</v>
      </c>
      <c r="G3659" s="2" t="s">
        <v>18</v>
      </c>
      <c r="H3659" s="2" t="s">
        <v>78</v>
      </c>
      <c r="I3659" s="2" t="s">
        <v>79</v>
      </c>
      <c r="J3659" s="2" t="s">
        <v>383</v>
      </c>
      <c r="K3659" s="2" t="s">
        <v>2356</v>
      </c>
      <c r="L3659" s="3">
        <v>0.43055555555555558</v>
      </c>
      <c r="M3659" s="2" t="s">
        <v>582</v>
      </c>
      <c r="N3659" s="2" t="s">
        <v>500</v>
      </c>
      <c r="O3659" s="2"/>
    </row>
    <row r="3660" spans="1:15" x14ac:dyDescent="0.25">
      <c r="A3660" s="2" t="s">
        <v>15</v>
      </c>
      <c r="B3660" s="2" t="str">
        <f>"FES1162772169"</f>
        <v>FES1162772169</v>
      </c>
      <c r="C3660" s="2" t="s">
        <v>2282</v>
      </c>
      <c r="D3660" s="2">
        <v>1</v>
      </c>
      <c r="E3660" s="2" t="str">
        <f>"2170759180"</f>
        <v>2170759180</v>
      </c>
      <c r="F3660" s="2" t="s">
        <v>17</v>
      </c>
      <c r="G3660" s="2" t="s">
        <v>18</v>
      </c>
      <c r="H3660" s="2" t="s">
        <v>19</v>
      </c>
      <c r="I3660" s="2" t="s">
        <v>111</v>
      </c>
      <c r="J3660" s="2" t="s">
        <v>112</v>
      </c>
      <c r="K3660" s="2" t="s">
        <v>2356</v>
      </c>
      <c r="L3660" s="3">
        <v>0.51388888888888895</v>
      </c>
      <c r="M3660" s="2" t="s">
        <v>225</v>
      </c>
      <c r="N3660" s="2" t="s">
        <v>500</v>
      </c>
      <c r="O3660" s="2"/>
    </row>
    <row r="3661" spans="1:15" x14ac:dyDescent="0.25">
      <c r="A3661" s="2" t="s">
        <v>15</v>
      </c>
      <c r="B3661" s="2" t="str">
        <f>"FES1162772371"</f>
        <v>FES1162772371</v>
      </c>
      <c r="C3661" s="2" t="s">
        <v>2282</v>
      </c>
      <c r="D3661" s="2">
        <v>1</v>
      </c>
      <c r="E3661" s="2" t="str">
        <f>"2170759235"</f>
        <v>2170759235</v>
      </c>
      <c r="F3661" s="2" t="s">
        <v>17</v>
      </c>
      <c r="G3661" s="2" t="s">
        <v>18</v>
      </c>
      <c r="H3661" s="2" t="s">
        <v>18</v>
      </c>
      <c r="I3661" s="2" t="s">
        <v>57</v>
      </c>
      <c r="J3661" s="2" t="s">
        <v>119</v>
      </c>
      <c r="K3661" s="2" t="s">
        <v>2356</v>
      </c>
      <c r="L3661" s="3">
        <v>0.35000000000000003</v>
      </c>
      <c r="M3661" s="2" t="s">
        <v>230</v>
      </c>
      <c r="N3661" s="2" t="s">
        <v>500</v>
      </c>
      <c r="O3661" s="2"/>
    </row>
    <row r="3662" spans="1:15" x14ac:dyDescent="0.25">
      <c r="A3662" s="2" t="s">
        <v>15</v>
      </c>
      <c r="B3662" s="2" t="str">
        <f>"FES1162772355"</f>
        <v>FES1162772355</v>
      </c>
      <c r="C3662" s="2" t="s">
        <v>2282</v>
      </c>
      <c r="D3662" s="2">
        <v>1</v>
      </c>
      <c r="E3662" s="2" t="str">
        <f>"2170759214"</f>
        <v>2170759214</v>
      </c>
      <c r="F3662" s="2" t="s">
        <v>17</v>
      </c>
      <c r="G3662" s="2" t="s">
        <v>18</v>
      </c>
      <c r="H3662" s="2" t="s">
        <v>363</v>
      </c>
      <c r="I3662" s="2" t="s">
        <v>364</v>
      </c>
      <c r="J3662" s="2" t="s">
        <v>365</v>
      </c>
      <c r="K3662" s="2" t="s">
        <v>2356</v>
      </c>
      <c r="L3662" s="3">
        <v>0.375</v>
      </c>
      <c r="M3662" s="2" t="s">
        <v>366</v>
      </c>
      <c r="N3662" s="2" t="s">
        <v>500</v>
      </c>
      <c r="O3662" s="2"/>
    </row>
    <row r="3663" spans="1:15" x14ac:dyDescent="0.25">
      <c r="A3663" s="2" t="s">
        <v>15</v>
      </c>
      <c r="B3663" s="2" t="str">
        <f>"FES1162772247"</f>
        <v>FES1162772247</v>
      </c>
      <c r="C3663" s="2" t="s">
        <v>2282</v>
      </c>
      <c r="D3663" s="2">
        <v>1</v>
      </c>
      <c r="E3663" s="2" t="str">
        <f>"2170757362"</f>
        <v>2170757362</v>
      </c>
      <c r="F3663" s="2" t="s">
        <v>480</v>
      </c>
      <c r="G3663" s="2" t="s">
        <v>206</v>
      </c>
      <c r="H3663" s="2" t="s">
        <v>2452</v>
      </c>
      <c r="I3663" s="2" t="s">
        <v>459</v>
      </c>
      <c r="J3663" s="2" t="s">
        <v>460</v>
      </c>
      <c r="K3663" s="2" t="s">
        <v>2384</v>
      </c>
      <c r="L3663" s="3">
        <v>0.35416666666666669</v>
      </c>
      <c r="M3663" s="2" t="s">
        <v>567</v>
      </c>
      <c r="N3663" s="2" t="s">
        <v>500</v>
      </c>
      <c r="O3663" s="2"/>
    </row>
    <row r="3664" spans="1:15" x14ac:dyDescent="0.25">
      <c r="A3664" s="2" t="s">
        <v>15</v>
      </c>
      <c r="B3664" s="2" t="str">
        <f>"FES1162772370"</f>
        <v>FES1162772370</v>
      </c>
      <c r="C3664" s="2" t="s">
        <v>2282</v>
      </c>
      <c r="D3664" s="2">
        <v>1</v>
      </c>
      <c r="E3664" s="2" t="str">
        <f>"2170758969"</f>
        <v>2170758969</v>
      </c>
      <c r="F3664" s="2" t="s">
        <v>17</v>
      </c>
      <c r="G3664" s="2" t="s">
        <v>18</v>
      </c>
      <c r="H3664" s="2" t="s">
        <v>18</v>
      </c>
      <c r="I3664" s="2" t="s">
        <v>65</v>
      </c>
      <c r="J3664" s="2" t="s">
        <v>1149</v>
      </c>
      <c r="K3664" s="2" t="s">
        <v>2356</v>
      </c>
      <c r="L3664" s="3">
        <v>0.4375</v>
      </c>
      <c r="M3664" s="2" t="s">
        <v>2400</v>
      </c>
      <c r="N3664" s="2" t="s">
        <v>500</v>
      </c>
      <c r="O3664" s="2"/>
    </row>
    <row r="3665" spans="1:15" x14ac:dyDescent="0.25">
      <c r="A3665" s="2" t="s">
        <v>15</v>
      </c>
      <c r="B3665" s="2" t="str">
        <f>"FES1162772249"</f>
        <v>FES1162772249</v>
      </c>
      <c r="C3665" s="2" t="s">
        <v>2282</v>
      </c>
      <c r="D3665" s="2">
        <v>1</v>
      </c>
      <c r="E3665" s="2" t="str">
        <f>"2170757467"</f>
        <v>2170757467</v>
      </c>
      <c r="F3665" s="2" t="s">
        <v>17</v>
      </c>
      <c r="G3665" s="2" t="s">
        <v>18</v>
      </c>
      <c r="H3665" s="2" t="s">
        <v>36</v>
      </c>
      <c r="I3665" s="2" t="s">
        <v>37</v>
      </c>
      <c r="J3665" s="2" t="s">
        <v>162</v>
      </c>
      <c r="K3665" s="2" t="s">
        <v>2356</v>
      </c>
      <c r="L3665" s="3">
        <v>0.36736111111111108</v>
      </c>
      <c r="M3665" s="2" t="s">
        <v>268</v>
      </c>
      <c r="N3665" s="2" t="s">
        <v>500</v>
      </c>
      <c r="O3665" s="2"/>
    </row>
    <row r="3666" spans="1:15" x14ac:dyDescent="0.25">
      <c r="A3666" s="2" t="s">
        <v>15</v>
      </c>
      <c r="B3666" s="2" t="str">
        <f>"FES1162772298"</f>
        <v>FES1162772298</v>
      </c>
      <c r="C3666" s="2" t="s">
        <v>2282</v>
      </c>
      <c r="D3666" s="2">
        <v>1</v>
      </c>
      <c r="E3666" s="2" t="str">
        <f>"2170757126"</f>
        <v>2170757126</v>
      </c>
      <c r="F3666" s="2" t="s">
        <v>205</v>
      </c>
      <c r="G3666" s="2" t="s">
        <v>206</v>
      </c>
      <c r="H3666" s="2" t="s">
        <v>36</v>
      </c>
      <c r="I3666" s="2" t="s">
        <v>37</v>
      </c>
      <c r="J3666" s="2" t="s">
        <v>1455</v>
      </c>
      <c r="K3666" s="2" t="s">
        <v>2384</v>
      </c>
      <c r="L3666" s="3">
        <v>0.34375</v>
      </c>
      <c r="M3666" s="2" t="s">
        <v>1577</v>
      </c>
      <c r="N3666" s="2" t="s">
        <v>500</v>
      </c>
      <c r="O3666" s="2"/>
    </row>
    <row r="3667" spans="1:15" x14ac:dyDescent="0.25">
      <c r="A3667" s="2" t="s">
        <v>15</v>
      </c>
      <c r="B3667" s="2" t="str">
        <f>"FES1162772203"</f>
        <v>FES1162772203</v>
      </c>
      <c r="C3667" s="2" t="s">
        <v>2282</v>
      </c>
      <c r="D3667" s="2">
        <v>1</v>
      </c>
      <c r="E3667" s="2" t="str">
        <f>"2170756913"</f>
        <v>2170756913</v>
      </c>
      <c r="F3667" s="2" t="s">
        <v>17</v>
      </c>
      <c r="G3667" s="2" t="s">
        <v>18</v>
      </c>
      <c r="H3667" s="2" t="s">
        <v>36</v>
      </c>
      <c r="I3667" s="2" t="s">
        <v>67</v>
      </c>
      <c r="J3667" s="2" t="s">
        <v>650</v>
      </c>
      <c r="K3667" s="2" t="s">
        <v>2356</v>
      </c>
      <c r="L3667" s="3">
        <v>0.37847222222222227</v>
      </c>
      <c r="M3667" s="2" t="s">
        <v>1377</v>
      </c>
      <c r="N3667" s="2" t="s">
        <v>500</v>
      </c>
      <c r="O3667" s="2"/>
    </row>
    <row r="3668" spans="1:15" x14ac:dyDescent="0.25">
      <c r="A3668" s="2" t="s">
        <v>15</v>
      </c>
      <c r="B3668" s="2" t="str">
        <f>"FES1162772347"</f>
        <v>FES1162772347</v>
      </c>
      <c r="C3668" s="2" t="s">
        <v>2282</v>
      </c>
      <c r="D3668" s="2">
        <v>1</v>
      </c>
      <c r="E3668" s="2" t="str">
        <f>"2170758884"</f>
        <v>2170758884</v>
      </c>
      <c r="F3668" s="2" t="s">
        <v>17</v>
      </c>
      <c r="G3668" s="2" t="s">
        <v>18</v>
      </c>
      <c r="H3668" s="2" t="s">
        <v>36</v>
      </c>
      <c r="I3668" s="2" t="s">
        <v>67</v>
      </c>
      <c r="J3668" s="2" t="s">
        <v>146</v>
      </c>
      <c r="K3668" s="2" t="s">
        <v>2356</v>
      </c>
      <c r="L3668" s="3">
        <v>0.39027777777777778</v>
      </c>
      <c r="M3668" s="2" t="s">
        <v>244</v>
      </c>
      <c r="N3668" s="2" t="s">
        <v>500</v>
      </c>
      <c r="O3668" s="2"/>
    </row>
    <row r="3669" spans="1:15" x14ac:dyDescent="0.25">
      <c r="A3669" s="2" t="s">
        <v>15</v>
      </c>
      <c r="B3669" s="2" t="str">
        <f>"FES1162772373"</f>
        <v>FES1162772373</v>
      </c>
      <c r="C3669" s="2" t="s">
        <v>2282</v>
      </c>
      <c r="D3669" s="2">
        <v>1</v>
      </c>
      <c r="E3669" s="2" t="str">
        <f>"2170759136"</f>
        <v>2170759136</v>
      </c>
      <c r="F3669" s="2" t="s">
        <v>17</v>
      </c>
      <c r="G3669" s="2" t="s">
        <v>18</v>
      </c>
      <c r="H3669" s="2" t="s">
        <v>18</v>
      </c>
      <c r="I3669" s="2" t="s">
        <v>63</v>
      </c>
      <c r="J3669" s="2" t="s">
        <v>1413</v>
      </c>
      <c r="K3669" s="2" t="s">
        <v>2356</v>
      </c>
      <c r="L3669" s="3">
        <v>0.39652777777777781</v>
      </c>
      <c r="M3669" s="2" t="s">
        <v>2386</v>
      </c>
      <c r="N3669" s="2" t="s">
        <v>500</v>
      </c>
      <c r="O3669" s="2"/>
    </row>
    <row r="3670" spans="1:15" x14ac:dyDescent="0.25">
      <c r="A3670" s="2" t="s">
        <v>15</v>
      </c>
      <c r="B3670" s="2" t="str">
        <f>"FES1162772362"</f>
        <v>FES1162772362</v>
      </c>
      <c r="C3670" s="2" t="s">
        <v>2282</v>
      </c>
      <c r="D3670" s="2">
        <v>1</v>
      </c>
      <c r="E3670" s="2" t="str">
        <f>"2170759201"</f>
        <v>2170759201</v>
      </c>
      <c r="F3670" s="2" t="s">
        <v>17</v>
      </c>
      <c r="G3670" s="2" t="s">
        <v>18</v>
      </c>
      <c r="H3670" s="2" t="s">
        <v>19</v>
      </c>
      <c r="I3670" s="2" t="s">
        <v>111</v>
      </c>
      <c r="J3670" s="2" t="s">
        <v>405</v>
      </c>
      <c r="K3670" s="2" t="s">
        <v>2356</v>
      </c>
      <c r="L3670" s="3">
        <v>0.36874999999999997</v>
      </c>
      <c r="M3670" s="2" t="s">
        <v>714</v>
      </c>
      <c r="N3670" s="2" t="s">
        <v>500</v>
      </c>
      <c r="O3670" s="2"/>
    </row>
    <row r="3671" spans="1:15" x14ac:dyDescent="0.25">
      <c r="A3671" s="2" t="s">
        <v>15</v>
      </c>
      <c r="B3671" s="2" t="str">
        <f>"FES1162772211"</f>
        <v>FES1162772211</v>
      </c>
      <c r="C3671" s="2" t="s">
        <v>2282</v>
      </c>
      <c r="D3671" s="2">
        <v>1</v>
      </c>
      <c r="E3671" s="2" t="str">
        <f>"2170756979"</f>
        <v>2170756979</v>
      </c>
      <c r="F3671" s="2" t="s">
        <v>17</v>
      </c>
      <c r="G3671" s="2" t="s">
        <v>18</v>
      </c>
      <c r="H3671" s="2" t="s">
        <v>88</v>
      </c>
      <c r="I3671" s="2" t="s">
        <v>612</v>
      </c>
      <c r="J3671" s="2" t="s">
        <v>1126</v>
      </c>
      <c r="K3671" s="2" t="s">
        <v>2356</v>
      </c>
      <c r="L3671" s="3">
        <v>0.64722222222222225</v>
      </c>
      <c r="M3671" s="2" t="s">
        <v>1250</v>
      </c>
      <c r="N3671" s="2" t="s">
        <v>500</v>
      </c>
      <c r="O3671" s="2"/>
    </row>
    <row r="3672" spans="1:15" x14ac:dyDescent="0.25">
      <c r="A3672" s="2" t="s">
        <v>15</v>
      </c>
      <c r="B3672" s="2" t="str">
        <f>"FES1162772254"</f>
        <v>FES1162772254</v>
      </c>
      <c r="C3672" s="2" t="s">
        <v>2282</v>
      </c>
      <c r="D3672" s="2">
        <v>1</v>
      </c>
      <c r="E3672" s="2" t="str">
        <f>"2170757994"</f>
        <v>2170757994</v>
      </c>
      <c r="F3672" s="2" t="s">
        <v>17</v>
      </c>
      <c r="G3672" s="2" t="s">
        <v>18</v>
      </c>
      <c r="H3672" s="2" t="s">
        <v>88</v>
      </c>
      <c r="I3672" s="2" t="s">
        <v>109</v>
      </c>
      <c r="J3672" s="2" t="s">
        <v>66</v>
      </c>
      <c r="K3672" s="2" t="s">
        <v>2356</v>
      </c>
      <c r="L3672" s="3">
        <v>0.4375</v>
      </c>
      <c r="M3672" s="2" t="s">
        <v>969</v>
      </c>
      <c r="N3672" s="2" t="s">
        <v>500</v>
      </c>
      <c r="O3672" s="2"/>
    </row>
    <row r="3673" spans="1:15" x14ac:dyDescent="0.25">
      <c r="A3673" s="2" t="s">
        <v>15</v>
      </c>
      <c r="B3673" s="2" t="str">
        <f>"FES1162772297"</f>
        <v>FES1162772297</v>
      </c>
      <c r="C3673" s="2" t="s">
        <v>2282</v>
      </c>
      <c r="D3673" s="2">
        <v>1</v>
      </c>
      <c r="E3673" s="2" t="str">
        <f>"2170757116"</f>
        <v>2170757116</v>
      </c>
      <c r="F3673" s="2" t="s">
        <v>17</v>
      </c>
      <c r="G3673" s="2" t="s">
        <v>18</v>
      </c>
      <c r="H3673" s="2" t="s">
        <v>19</v>
      </c>
      <c r="I3673" s="2" t="s">
        <v>111</v>
      </c>
      <c r="J3673" s="2" t="s">
        <v>405</v>
      </c>
      <c r="K3673" s="2" t="s">
        <v>2356</v>
      </c>
      <c r="L3673" s="3">
        <v>0.36805555555555558</v>
      </c>
      <c r="M3673" s="2" t="s">
        <v>714</v>
      </c>
      <c r="N3673" s="2" t="s">
        <v>500</v>
      </c>
      <c r="O3673" s="2"/>
    </row>
    <row r="3674" spans="1:15" x14ac:dyDescent="0.25">
      <c r="A3674" s="2" t="s">
        <v>15</v>
      </c>
      <c r="B3674" s="2" t="str">
        <f>"FES1162772368"</f>
        <v>FES1162772368</v>
      </c>
      <c r="C3674" s="2" t="s">
        <v>2282</v>
      </c>
      <c r="D3674" s="2">
        <v>1</v>
      </c>
      <c r="E3674" s="2" t="str">
        <f>"2170759231"</f>
        <v>2170759231</v>
      </c>
      <c r="F3674" s="2" t="s">
        <v>17</v>
      </c>
      <c r="G3674" s="2" t="s">
        <v>18</v>
      </c>
      <c r="H3674" s="2" t="s">
        <v>617</v>
      </c>
      <c r="I3674" s="2" t="s">
        <v>618</v>
      </c>
      <c r="J3674" s="2" t="s">
        <v>2365</v>
      </c>
      <c r="K3674" s="2" t="s">
        <v>2356</v>
      </c>
      <c r="L3674" s="3">
        <v>0.4375</v>
      </c>
      <c r="M3674" s="2" t="s">
        <v>685</v>
      </c>
      <c r="N3674" s="2" t="s">
        <v>500</v>
      </c>
      <c r="O3674" s="2"/>
    </row>
    <row r="3675" spans="1:15" x14ac:dyDescent="0.25">
      <c r="A3675" s="2" t="s">
        <v>15</v>
      </c>
      <c r="B3675" s="2" t="str">
        <f>"FES1162772266"</f>
        <v>FES1162772266</v>
      </c>
      <c r="C3675" s="2" t="s">
        <v>2282</v>
      </c>
      <c r="D3675" s="2">
        <v>1</v>
      </c>
      <c r="E3675" s="2" t="str">
        <f>"2170759025"</f>
        <v>2170759025</v>
      </c>
      <c r="F3675" s="2" t="s">
        <v>17</v>
      </c>
      <c r="G3675" s="2" t="s">
        <v>18</v>
      </c>
      <c r="H3675" s="2" t="s">
        <v>18</v>
      </c>
      <c r="I3675" s="2" t="s">
        <v>46</v>
      </c>
      <c r="J3675" s="2" t="s">
        <v>470</v>
      </c>
      <c r="K3675" s="2" t="s">
        <v>2356</v>
      </c>
      <c r="L3675" s="3">
        <v>0.32291666666666669</v>
      </c>
      <c r="M3675" s="2" t="s">
        <v>1200</v>
      </c>
      <c r="N3675" s="2" t="s">
        <v>500</v>
      </c>
      <c r="O3675" s="2"/>
    </row>
    <row r="3676" spans="1:15" x14ac:dyDescent="0.25">
      <c r="A3676" s="2" t="s">
        <v>15</v>
      </c>
      <c r="B3676" s="2" t="str">
        <f>"FES1162772170"</f>
        <v>FES1162772170</v>
      </c>
      <c r="C3676" s="2" t="s">
        <v>2282</v>
      </c>
      <c r="D3676" s="2">
        <v>1</v>
      </c>
      <c r="E3676" s="2" t="str">
        <f>"2170759181"</f>
        <v>2170759181</v>
      </c>
      <c r="F3676" s="2" t="s">
        <v>17</v>
      </c>
      <c r="G3676" s="2" t="s">
        <v>18</v>
      </c>
      <c r="H3676" s="2" t="s">
        <v>18</v>
      </c>
      <c r="I3676" s="2" t="s">
        <v>57</v>
      </c>
      <c r="J3676" s="2" t="s">
        <v>1405</v>
      </c>
      <c r="K3676" s="2" t="s">
        <v>2356</v>
      </c>
      <c r="L3676" s="3">
        <v>0.375</v>
      </c>
      <c r="M3676" s="2" t="s">
        <v>1484</v>
      </c>
      <c r="N3676" s="2" t="s">
        <v>500</v>
      </c>
      <c r="O3676" s="2"/>
    </row>
    <row r="3677" spans="1:15" x14ac:dyDescent="0.25">
      <c r="A3677" s="2" t="s">
        <v>15</v>
      </c>
      <c r="B3677" s="2" t="str">
        <f>"FES1162772305"</f>
        <v>FES1162772305</v>
      </c>
      <c r="C3677" s="2" t="s">
        <v>2282</v>
      </c>
      <c r="D3677" s="2">
        <v>1</v>
      </c>
      <c r="E3677" s="2" t="str">
        <f>"2170757360"</f>
        <v>2170757360</v>
      </c>
      <c r="F3677" s="2" t="s">
        <v>17</v>
      </c>
      <c r="G3677" s="2" t="s">
        <v>18</v>
      </c>
      <c r="H3677" s="2" t="s">
        <v>18</v>
      </c>
      <c r="I3677" s="2" t="s">
        <v>163</v>
      </c>
      <c r="J3677" s="2" t="s">
        <v>2146</v>
      </c>
      <c r="K3677" s="2" t="s">
        <v>2356</v>
      </c>
      <c r="L3677" s="3">
        <v>0.45208333333333334</v>
      </c>
      <c r="M3677" s="2" t="s">
        <v>2265</v>
      </c>
      <c r="N3677" s="2" t="s">
        <v>500</v>
      </c>
      <c r="O3677" s="2"/>
    </row>
    <row r="3678" spans="1:15" x14ac:dyDescent="0.25">
      <c r="A3678" s="2" t="s">
        <v>15</v>
      </c>
      <c r="B3678" s="2" t="str">
        <f>"FES1162772328"</f>
        <v>FES1162772328</v>
      </c>
      <c r="C3678" s="2" t="s">
        <v>2282</v>
      </c>
      <c r="D3678" s="2">
        <v>1</v>
      </c>
      <c r="E3678" s="2" t="str">
        <f>"2170757474"</f>
        <v>2170757474</v>
      </c>
      <c r="F3678" s="2" t="s">
        <v>17</v>
      </c>
      <c r="G3678" s="2" t="s">
        <v>18</v>
      </c>
      <c r="H3678" s="2" t="s">
        <v>88</v>
      </c>
      <c r="I3678" s="2" t="s">
        <v>612</v>
      </c>
      <c r="J3678" s="2" t="s">
        <v>1126</v>
      </c>
      <c r="K3678" s="2" t="s">
        <v>2356</v>
      </c>
      <c r="L3678" s="3">
        <v>0.64722222222222225</v>
      </c>
      <c r="M3678" s="2" t="s">
        <v>1250</v>
      </c>
      <c r="N3678" s="2" t="s">
        <v>500</v>
      </c>
      <c r="O3678" s="2"/>
    </row>
    <row r="3679" spans="1:15" x14ac:dyDescent="0.25">
      <c r="A3679" s="2" t="s">
        <v>15</v>
      </c>
      <c r="B3679" s="2" t="str">
        <f>"FES1162772282"</f>
        <v>FES1162772282</v>
      </c>
      <c r="C3679" s="2" t="s">
        <v>2282</v>
      </c>
      <c r="D3679" s="2">
        <v>1</v>
      </c>
      <c r="E3679" s="2" t="str">
        <f>"2170756786"</f>
        <v>2170756786</v>
      </c>
      <c r="F3679" s="2" t="s">
        <v>17</v>
      </c>
      <c r="G3679" s="2" t="s">
        <v>18</v>
      </c>
      <c r="H3679" s="2" t="s">
        <v>18</v>
      </c>
      <c r="I3679" s="2" t="s">
        <v>63</v>
      </c>
      <c r="J3679" s="2" t="s">
        <v>1427</v>
      </c>
      <c r="K3679" s="2" t="s">
        <v>2356</v>
      </c>
      <c r="L3679" s="3">
        <v>0.48194444444444445</v>
      </c>
      <c r="M3679" s="2" t="s">
        <v>2031</v>
      </c>
      <c r="N3679" s="2" t="s">
        <v>500</v>
      </c>
      <c r="O3679" s="2"/>
    </row>
    <row r="3680" spans="1:15" x14ac:dyDescent="0.25">
      <c r="A3680" s="2" t="s">
        <v>15</v>
      </c>
      <c r="B3680" s="2" t="str">
        <f>"FES1162772214"</f>
        <v>FES1162772214</v>
      </c>
      <c r="C3680" s="2" t="s">
        <v>2282</v>
      </c>
      <c r="D3680" s="2">
        <v>1</v>
      </c>
      <c r="E3680" s="2" t="str">
        <f>"2170757004"</f>
        <v>2170757004</v>
      </c>
      <c r="F3680" s="2" t="s">
        <v>17</v>
      </c>
      <c r="G3680" s="2" t="s">
        <v>18</v>
      </c>
      <c r="H3680" s="2" t="s">
        <v>18</v>
      </c>
      <c r="I3680" s="2" t="s">
        <v>63</v>
      </c>
      <c r="J3680" s="2" t="s">
        <v>1287</v>
      </c>
      <c r="K3680" s="2" t="s">
        <v>2356</v>
      </c>
      <c r="L3680" s="3">
        <v>0.34652777777777777</v>
      </c>
      <c r="M3680" s="2" t="s">
        <v>1339</v>
      </c>
      <c r="N3680" s="2" t="s">
        <v>500</v>
      </c>
      <c r="O3680" s="2"/>
    </row>
    <row r="3681" spans="1:15" x14ac:dyDescent="0.25">
      <c r="A3681" s="2" t="s">
        <v>15</v>
      </c>
      <c r="B3681" s="2" t="str">
        <f>"FES1162772299"</f>
        <v>FES1162772299</v>
      </c>
      <c r="C3681" s="2" t="s">
        <v>2282</v>
      </c>
      <c r="D3681" s="2">
        <v>1</v>
      </c>
      <c r="E3681" s="2" t="str">
        <f>"2170757161"</f>
        <v>2170757161</v>
      </c>
      <c r="F3681" s="2" t="s">
        <v>17</v>
      </c>
      <c r="G3681" s="2" t="s">
        <v>18</v>
      </c>
      <c r="H3681" s="2" t="s">
        <v>18</v>
      </c>
      <c r="I3681" s="2" t="s">
        <v>105</v>
      </c>
      <c r="J3681" s="2" t="s">
        <v>1430</v>
      </c>
      <c r="K3681" s="2" t="s">
        <v>2356</v>
      </c>
      <c r="L3681" s="3">
        <v>0.375</v>
      </c>
      <c r="M3681" s="2" t="s">
        <v>310</v>
      </c>
      <c r="N3681" s="2" t="s">
        <v>500</v>
      </c>
      <c r="O3681" s="2"/>
    </row>
    <row r="3682" spans="1:15" x14ac:dyDescent="0.25">
      <c r="A3682" s="2" t="s">
        <v>15</v>
      </c>
      <c r="B3682" s="2" t="str">
        <f>"FES1162772256"</f>
        <v>FES1162772256</v>
      </c>
      <c r="C3682" s="2" t="s">
        <v>2282</v>
      </c>
      <c r="D3682" s="2">
        <v>1</v>
      </c>
      <c r="E3682" s="2" t="str">
        <f>"2170758273"</f>
        <v>2170758273</v>
      </c>
      <c r="F3682" s="2" t="s">
        <v>17</v>
      </c>
      <c r="G3682" s="2" t="s">
        <v>18</v>
      </c>
      <c r="H3682" s="2" t="s">
        <v>88</v>
      </c>
      <c r="I3682" s="2" t="s">
        <v>109</v>
      </c>
      <c r="J3682" s="2" t="s">
        <v>1409</v>
      </c>
      <c r="K3682" s="2" t="s">
        <v>2356</v>
      </c>
      <c r="L3682" s="3">
        <v>0.35069444444444442</v>
      </c>
      <c r="M3682" s="2" t="s">
        <v>1492</v>
      </c>
      <c r="N3682" s="2" t="s">
        <v>500</v>
      </c>
      <c r="O3682" s="2"/>
    </row>
    <row r="3683" spans="1:15" x14ac:dyDescent="0.25">
      <c r="A3683" s="2" t="s">
        <v>15</v>
      </c>
      <c r="B3683" s="2" t="str">
        <f>"FES1162772341"</f>
        <v>FES1162772341</v>
      </c>
      <c r="C3683" s="2" t="s">
        <v>2282</v>
      </c>
      <c r="D3683" s="2">
        <v>1</v>
      </c>
      <c r="E3683" s="2" t="str">
        <f>"2170758097"</f>
        <v>2170758097</v>
      </c>
      <c r="F3683" s="2" t="s">
        <v>17</v>
      </c>
      <c r="G3683" s="2" t="s">
        <v>18</v>
      </c>
      <c r="H3683" s="2" t="s">
        <v>88</v>
      </c>
      <c r="I3683" s="2" t="s">
        <v>612</v>
      </c>
      <c r="J3683" s="2" t="s">
        <v>1126</v>
      </c>
      <c r="K3683" s="2" t="s">
        <v>2356</v>
      </c>
      <c r="L3683" s="3">
        <v>0.64722222222222225</v>
      </c>
      <c r="M3683" s="2" t="s">
        <v>1250</v>
      </c>
      <c r="N3683" s="2" t="s">
        <v>500</v>
      </c>
      <c r="O3683" s="2"/>
    </row>
    <row r="3684" spans="1:15" x14ac:dyDescent="0.25">
      <c r="A3684" s="2" t="s">
        <v>15</v>
      </c>
      <c r="B3684" s="2" t="str">
        <f>"FES1162772190"</f>
        <v>FES1162772190</v>
      </c>
      <c r="C3684" s="2" t="s">
        <v>2282</v>
      </c>
      <c r="D3684" s="2">
        <v>1</v>
      </c>
      <c r="E3684" s="2" t="str">
        <f>"2170756786"</f>
        <v>2170756786</v>
      </c>
      <c r="F3684" s="2" t="s">
        <v>17</v>
      </c>
      <c r="G3684" s="2" t="s">
        <v>18</v>
      </c>
      <c r="H3684" s="2" t="s">
        <v>18</v>
      </c>
      <c r="I3684" s="2" t="s">
        <v>63</v>
      </c>
      <c r="J3684" s="2" t="s">
        <v>1427</v>
      </c>
      <c r="K3684" s="2" t="s">
        <v>2356</v>
      </c>
      <c r="L3684" s="3">
        <v>0.48194444444444445</v>
      </c>
      <c r="M3684" s="2" t="s">
        <v>2031</v>
      </c>
      <c r="N3684" s="2" t="s">
        <v>500</v>
      </c>
      <c r="O3684" s="2"/>
    </row>
    <row r="3685" spans="1:15" x14ac:dyDescent="0.25">
      <c r="A3685" s="2" t="s">
        <v>15</v>
      </c>
      <c r="B3685" s="2" t="str">
        <f>"FES1162772177"</f>
        <v>FES1162772177</v>
      </c>
      <c r="C3685" s="2" t="s">
        <v>2282</v>
      </c>
      <c r="D3685" s="2">
        <v>1</v>
      </c>
      <c r="E3685" s="2" t="str">
        <f>"2170759193"</f>
        <v>2170759193</v>
      </c>
      <c r="F3685" s="2" t="s">
        <v>17</v>
      </c>
      <c r="G3685" s="2" t="s">
        <v>18</v>
      </c>
      <c r="H3685" s="2" t="s">
        <v>88</v>
      </c>
      <c r="I3685" s="2" t="s">
        <v>109</v>
      </c>
      <c r="J3685" s="2" t="s">
        <v>1424</v>
      </c>
      <c r="K3685" s="2" t="s">
        <v>2356</v>
      </c>
      <c r="L3685" s="3">
        <v>0.39513888888888887</v>
      </c>
      <c r="M3685" s="2" t="s">
        <v>1479</v>
      </c>
      <c r="N3685" s="2" t="s">
        <v>500</v>
      </c>
      <c r="O3685" s="2"/>
    </row>
    <row r="3686" spans="1:15" x14ac:dyDescent="0.25">
      <c r="A3686" s="2" t="s">
        <v>15</v>
      </c>
      <c r="B3686" s="2" t="str">
        <f>"FES1162772267"</f>
        <v>FES1162772267</v>
      </c>
      <c r="C3686" s="2" t="s">
        <v>2282</v>
      </c>
      <c r="D3686" s="2">
        <v>1</v>
      </c>
      <c r="E3686" s="2" t="str">
        <f>"2170759086"</f>
        <v>2170759086</v>
      </c>
      <c r="F3686" s="2" t="s">
        <v>205</v>
      </c>
      <c r="G3686" s="2" t="s">
        <v>206</v>
      </c>
      <c r="H3686" s="2" t="s">
        <v>1116</v>
      </c>
      <c r="I3686" s="2" t="s">
        <v>437</v>
      </c>
      <c r="J3686" s="2" t="s">
        <v>110</v>
      </c>
      <c r="K3686" s="2" t="s">
        <v>2356</v>
      </c>
      <c r="L3686" s="3">
        <v>0.3833333333333333</v>
      </c>
      <c r="M3686" s="2" t="s">
        <v>224</v>
      </c>
      <c r="N3686" s="2" t="s">
        <v>500</v>
      </c>
      <c r="O3686" s="2"/>
    </row>
    <row r="3687" spans="1:15" x14ac:dyDescent="0.25">
      <c r="A3687" s="2" t="s">
        <v>15</v>
      </c>
      <c r="B3687" s="2" t="str">
        <f>"FES1162772253"</f>
        <v>FES1162772253</v>
      </c>
      <c r="C3687" s="2" t="s">
        <v>2282</v>
      </c>
      <c r="D3687" s="2">
        <v>1</v>
      </c>
      <c r="E3687" s="2" t="str">
        <f>"2170757930"</f>
        <v>2170757930</v>
      </c>
      <c r="F3687" s="2" t="s">
        <v>17</v>
      </c>
      <c r="G3687" s="2" t="s">
        <v>18</v>
      </c>
      <c r="H3687" s="2" t="s">
        <v>18</v>
      </c>
      <c r="I3687" s="2" t="s">
        <v>46</v>
      </c>
      <c r="J3687" s="2" t="s">
        <v>660</v>
      </c>
      <c r="K3687" s="2" t="s">
        <v>2356</v>
      </c>
      <c r="L3687" s="3">
        <v>0.3659722222222222</v>
      </c>
      <c r="M3687" s="2" t="s">
        <v>1399</v>
      </c>
      <c r="N3687" s="2" t="s">
        <v>500</v>
      </c>
      <c r="O3687" s="2"/>
    </row>
    <row r="3688" spans="1:15" x14ac:dyDescent="0.25">
      <c r="A3688" s="2" t="s">
        <v>15</v>
      </c>
      <c r="B3688" s="2" t="str">
        <f>"FES1162772192"</f>
        <v>FES1162772192</v>
      </c>
      <c r="C3688" s="2" t="s">
        <v>2282</v>
      </c>
      <c r="D3688" s="2">
        <v>1</v>
      </c>
      <c r="E3688" s="2" t="str">
        <f>"2170756831"</f>
        <v>2170756831</v>
      </c>
      <c r="F3688" s="2" t="s">
        <v>17</v>
      </c>
      <c r="G3688" s="2" t="s">
        <v>18</v>
      </c>
      <c r="H3688" s="2" t="s">
        <v>18</v>
      </c>
      <c r="I3688" s="2" t="s">
        <v>46</v>
      </c>
      <c r="J3688" s="2" t="s">
        <v>59</v>
      </c>
      <c r="K3688" s="2" t="s">
        <v>2356</v>
      </c>
      <c r="L3688" s="3">
        <v>0.4375</v>
      </c>
      <c r="M3688" s="2" t="s">
        <v>60</v>
      </c>
      <c r="N3688" s="2" t="s">
        <v>500</v>
      </c>
      <c r="O3688" s="2"/>
    </row>
    <row r="3689" spans="1:15" x14ac:dyDescent="0.25">
      <c r="A3689" s="2" t="s">
        <v>15</v>
      </c>
      <c r="B3689" s="2" t="str">
        <f>"FES1162772259"</f>
        <v>FES1162772259</v>
      </c>
      <c r="C3689" s="2" t="s">
        <v>2282</v>
      </c>
      <c r="D3689" s="2">
        <v>1</v>
      </c>
      <c r="E3689" s="2" t="str">
        <f>"2170758680"</f>
        <v>2170758680</v>
      </c>
      <c r="F3689" s="2" t="s">
        <v>17</v>
      </c>
      <c r="G3689" s="2" t="s">
        <v>18</v>
      </c>
      <c r="H3689" s="2" t="s">
        <v>18</v>
      </c>
      <c r="I3689" s="2" t="s">
        <v>63</v>
      </c>
      <c r="J3689" s="2" t="s">
        <v>93</v>
      </c>
      <c r="K3689" s="2" t="s">
        <v>2356</v>
      </c>
      <c r="L3689" s="3">
        <v>0.36319444444444443</v>
      </c>
      <c r="M3689" s="2" t="s">
        <v>471</v>
      </c>
      <c r="N3689" s="2" t="s">
        <v>500</v>
      </c>
      <c r="O3689" s="2"/>
    </row>
    <row r="3690" spans="1:15" x14ac:dyDescent="0.25">
      <c r="A3690" s="2" t="s">
        <v>15</v>
      </c>
      <c r="B3690" s="2" t="str">
        <f>"FES1162772307"</f>
        <v>FES1162772307</v>
      </c>
      <c r="C3690" s="2" t="s">
        <v>2282</v>
      </c>
      <c r="D3690" s="2">
        <v>1</v>
      </c>
      <c r="E3690" s="2" t="str">
        <f>"2170757367"</f>
        <v>2170757367</v>
      </c>
      <c r="F3690" s="2" t="s">
        <v>17</v>
      </c>
      <c r="G3690" s="2" t="s">
        <v>18</v>
      </c>
      <c r="H3690" s="2" t="s">
        <v>18</v>
      </c>
      <c r="I3690" s="2" t="s">
        <v>52</v>
      </c>
      <c r="J3690" s="2" t="s">
        <v>2213</v>
      </c>
      <c r="K3690" s="2" t="s">
        <v>2356</v>
      </c>
      <c r="L3690" s="3">
        <v>0.43124999999999997</v>
      </c>
      <c r="M3690" s="2" t="s">
        <v>2269</v>
      </c>
      <c r="N3690" s="2" t="s">
        <v>500</v>
      </c>
      <c r="O3690" s="2"/>
    </row>
    <row r="3691" spans="1:15" x14ac:dyDescent="0.25">
      <c r="A3691" s="2" t="s">
        <v>15</v>
      </c>
      <c r="B3691" s="2" t="str">
        <f>"FES1162772234"</f>
        <v>FES1162772234</v>
      </c>
      <c r="C3691" s="2" t="s">
        <v>2282</v>
      </c>
      <c r="D3691" s="2">
        <v>1</v>
      </c>
      <c r="E3691" s="2" t="str">
        <f>"2170757217"</f>
        <v>2170757217</v>
      </c>
      <c r="F3691" s="2" t="s">
        <v>17</v>
      </c>
      <c r="G3691" s="2" t="s">
        <v>18</v>
      </c>
      <c r="H3691" s="2" t="s">
        <v>25</v>
      </c>
      <c r="I3691" s="2" t="s">
        <v>42</v>
      </c>
      <c r="J3691" s="2" t="s">
        <v>639</v>
      </c>
      <c r="K3691" s="2" t="s">
        <v>2356</v>
      </c>
      <c r="L3691" s="3">
        <v>0.53263888888888888</v>
      </c>
      <c r="M3691" s="2" t="s">
        <v>140</v>
      </c>
      <c r="N3691" s="2" t="s">
        <v>500</v>
      </c>
      <c r="O3691" s="2"/>
    </row>
    <row r="3692" spans="1:15" x14ac:dyDescent="0.25">
      <c r="A3692" s="2" t="s">
        <v>15</v>
      </c>
      <c r="B3692" s="2" t="str">
        <f>"FES1162772350"</f>
        <v>FES1162772350</v>
      </c>
      <c r="C3692" s="2" t="s">
        <v>2282</v>
      </c>
      <c r="D3692" s="2">
        <v>1</v>
      </c>
      <c r="E3692" s="2" t="str">
        <f>"2170759207"</f>
        <v>2170759207</v>
      </c>
      <c r="F3692" s="2" t="s">
        <v>17</v>
      </c>
      <c r="G3692" s="2" t="s">
        <v>18</v>
      </c>
      <c r="H3692" s="2" t="s">
        <v>18</v>
      </c>
      <c r="I3692" s="2" t="s">
        <v>63</v>
      </c>
      <c r="J3692" s="2" t="s">
        <v>93</v>
      </c>
      <c r="K3692" s="2" t="s">
        <v>2356</v>
      </c>
      <c r="L3692" s="3">
        <v>0.36249999999999999</v>
      </c>
      <c r="M3692" s="2" t="s">
        <v>471</v>
      </c>
      <c r="N3692" s="2" t="s">
        <v>500</v>
      </c>
      <c r="O3692" s="2"/>
    </row>
    <row r="3693" spans="1:15" x14ac:dyDescent="0.25">
      <c r="A3693" s="2" t="s">
        <v>15</v>
      </c>
      <c r="B3693" s="2" t="str">
        <f>"FES1162772336"</f>
        <v>FES1162772336</v>
      </c>
      <c r="C3693" s="2" t="s">
        <v>2282</v>
      </c>
      <c r="D3693" s="2">
        <v>1</v>
      </c>
      <c r="E3693" s="2" t="str">
        <f>"2170757521"</f>
        <v>2170757521</v>
      </c>
      <c r="F3693" s="2" t="s">
        <v>17</v>
      </c>
      <c r="G3693" s="2" t="s">
        <v>18</v>
      </c>
      <c r="H3693" s="2" t="s">
        <v>18</v>
      </c>
      <c r="I3693" s="2" t="s">
        <v>50</v>
      </c>
      <c r="J3693" s="2" t="s">
        <v>51</v>
      </c>
      <c r="K3693" s="2" t="s">
        <v>2356</v>
      </c>
      <c r="L3693" s="3">
        <v>0.43055555555555558</v>
      </c>
      <c r="M3693" s="2" t="s">
        <v>184</v>
      </c>
      <c r="N3693" s="2" t="s">
        <v>500</v>
      </c>
      <c r="O3693" s="2"/>
    </row>
    <row r="3694" spans="1:15" x14ac:dyDescent="0.25">
      <c r="A3694" s="2" t="s">
        <v>15</v>
      </c>
      <c r="B3694" s="2" t="str">
        <f>"FES1162772217"</f>
        <v>FES1162772217</v>
      </c>
      <c r="C3694" s="2" t="s">
        <v>2282</v>
      </c>
      <c r="D3694" s="2">
        <v>1</v>
      </c>
      <c r="E3694" s="2" t="str">
        <f>"2170757027"</f>
        <v>2170757027</v>
      </c>
      <c r="F3694" s="2" t="s">
        <v>17</v>
      </c>
      <c r="G3694" s="2" t="s">
        <v>18</v>
      </c>
      <c r="H3694" s="2" t="s">
        <v>19</v>
      </c>
      <c r="I3694" s="2" t="s">
        <v>111</v>
      </c>
      <c r="J3694" s="2" t="s">
        <v>112</v>
      </c>
      <c r="K3694" s="2" t="s">
        <v>2356</v>
      </c>
      <c r="L3694" s="3">
        <v>0.51388888888888895</v>
      </c>
      <c r="M3694" s="2" t="s">
        <v>225</v>
      </c>
      <c r="N3694" s="2" t="s">
        <v>500</v>
      </c>
      <c r="O3694" s="2"/>
    </row>
    <row r="3695" spans="1:15" x14ac:dyDescent="0.25">
      <c r="A3695" s="2" t="s">
        <v>15</v>
      </c>
      <c r="B3695" s="2" t="str">
        <f>"FES1162772365"</f>
        <v>FES1162772365</v>
      </c>
      <c r="C3695" s="2" t="s">
        <v>2282</v>
      </c>
      <c r="D3695" s="2">
        <v>1</v>
      </c>
      <c r="E3695" s="2" t="str">
        <f>"2170759224"</f>
        <v>2170759224</v>
      </c>
      <c r="F3695" s="2" t="s">
        <v>17</v>
      </c>
      <c r="G3695" s="2" t="s">
        <v>18</v>
      </c>
      <c r="H3695" s="2" t="s">
        <v>19</v>
      </c>
      <c r="I3695" s="2" t="s">
        <v>111</v>
      </c>
      <c r="J3695" s="2" t="s">
        <v>405</v>
      </c>
      <c r="K3695" s="2" t="s">
        <v>2356</v>
      </c>
      <c r="L3695" s="3">
        <v>0.36874999999999997</v>
      </c>
      <c r="M3695" s="2" t="s">
        <v>714</v>
      </c>
      <c r="N3695" s="2" t="s">
        <v>500</v>
      </c>
      <c r="O3695" s="2"/>
    </row>
    <row r="3696" spans="1:15" x14ac:dyDescent="0.25">
      <c r="A3696" s="2" t="s">
        <v>15</v>
      </c>
      <c r="B3696" s="2" t="str">
        <f>"FES1162772359"</f>
        <v>FES1162772359</v>
      </c>
      <c r="C3696" s="2" t="s">
        <v>2282</v>
      </c>
      <c r="D3696" s="2">
        <v>1</v>
      </c>
      <c r="E3696" s="2" t="str">
        <f>"2170759219"</f>
        <v>2170759219</v>
      </c>
      <c r="F3696" s="2" t="s">
        <v>17</v>
      </c>
      <c r="G3696" s="2" t="s">
        <v>18</v>
      </c>
      <c r="H3696" s="2" t="s">
        <v>25</v>
      </c>
      <c r="I3696" s="2" t="s">
        <v>39</v>
      </c>
      <c r="J3696" s="2" t="s">
        <v>40</v>
      </c>
      <c r="K3696" s="2" t="s">
        <v>2356</v>
      </c>
      <c r="L3696" s="3">
        <v>0.41666666666666669</v>
      </c>
      <c r="M3696" s="2" t="s">
        <v>326</v>
      </c>
      <c r="N3696" s="2" t="s">
        <v>500</v>
      </c>
      <c r="O3696" s="2"/>
    </row>
    <row r="3697" spans="1:15" x14ac:dyDescent="0.25">
      <c r="A3697" s="2" t="s">
        <v>15</v>
      </c>
      <c r="B3697" s="2" t="str">
        <f>"FES1162772206"</f>
        <v>FES1162772206</v>
      </c>
      <c r="C3697" s="2" t="s">
        <v>2282</v>
      </c>
      <c r="D3697" s="2">
        <v>1</v>
      </c>
      <c r="E3697" s="2" t="str">
        <f>"2170756948"</f>
        <v>2170756948</v>
      </c>
      <c r="F3697" s="2" t="s">
        <v>17</v>
      </c>
      <c r="G3697" s="2" t="s">
        <v>18</v>
      </c>
      <c r="H3697" s="2" t="s">
        <v>19</v>
      </c>
      <c r="I3697" s="2" t="s">
        <v>20</v>
      </c>
      <c r="J3697" s="2" t="s">
        <v>29</v>
      </c>
      <c r="K3697" s="2" t="s">
        <v>2384</v>
      </c>
      <c r="L3697" s="3">
        <v>0.39166666666666666</v>
      </c>
      <c r="M3697" s="2" t="s">
        <v>682</v>
      </c>
      <c r="N3697" s="2" t="s">
        <v>500</v>
      </c>
      <c r="O3697" s="2"/>
    </row>
    <row r="3698" spans="1:15" x14ac:dyDescent="0.25">
      <c r="A3698" s="2" t="s">
        <v>15</v>
      </c>
      <c r="B3698" s="2" t="str">
        <f>"FES1162772174"</f>
        <v>FES1162772174</v>
      </c>
      <c r="C3698" s="2" t="s">
        <v>2282</v>
      </c>
      <c r="D3698" s="2">
        <v>1</v>
      </c>
      <c r="E3698" s="2" t="str">
        <f>"2170759188"</f>
        <v>2170759188</v>
      </c>
      <c r="F3698" s="2" t="s">
        <v>17</v>
      </c>
      <c r="G3698" s="2" t="s">
        <v>18</v>
      </c>
      <c r="H3698" s="2" t="s">
        <v>25</v>
      </c>
      <c r="I3698" s="2" t="s">
        <v>39</v>
      </c>
      <c r="J3698" s="2" t="s">
        <v>40</v>
      </c>
      <c r="K3698" s="2" t="s">
        <v>2356</v>
      </c>
      <c r="L3698" s="3">
        <v>0.41666666666666669</v>
      </c>
      <c r="M3698" s="2" t="s">
        <v>326</v>
      </c>
      <c r="N3698" s="2" t="s">
        <v>500</v>
      </c>
      <c r="O3698" s="2"/>
    </row>
    <row r="3699" spans="1:15" x14ac:dyDescent="0.25">
      <c r="A3699" s="2" t="s">
        <v>15</v>
      </c>
      <c r="B3699" s="2" t="str">
        <f>"FES1162772374"</f>
        <v>FES1162772374</v>
      </c>
      <c r="C3699" s="2" t="s">
        <v>2282</v>
      </c>
      <c r="D3699" s="2">
        <v>1</v>
      </c>
      <c r="E3699" s="2" t="str">
        <f>"2170759237"</f>
        <v>2170759237</v>
      </c>
      <c r="F3699" s="2" t="s">
        <v>17</v>
      </c>
      <c r="G3699" s="2" t="s">
        <v>18</v>
      </c>
      <c r="H3699" s="2" t="s">
        <v>30</v>
      </c>
      <c r="I3699" s="2" t="s">
        <v>147</v>
      </c>
      <c r="J3699" s="2" t="s">
        <v>148</v>
      </c>
      <c r="K3699" s="2" t="s">
        <v>2356</v>
      </c>
      <c r="L3699" s="3">
        <v>0.42638888888888887</v>
      </c>
      <c r="M3699" s="2" t="s">
        <v>1375</v>
      </c>
      <c r="N3699" s="2" t="s">
        <v>500</v>
      </c>
      <c r="O3699" s="2"/>
    </row>
    <row r="3700" spans="1:15" x14ac:dyDescent="0.25">
      <c r="A3700" s="2" t="s">
        <v>15</v>
      </c>
      <c r="B3700" s="2" t="str">
        <f>"FES1162772264"</f>
        <v>FES1162772264</v>
      </c>
      <c r="C3700" s="2" t="s">
        <v>2282</v>
      </c>
      <c r="D3700" s="2">
        <v>1</v>
      </c>
      <c r="E3700" s="2" t="str">
        <f>"2170758982"</f>
        <v>2170758982</v>
      </c>
      <c r="F3700" s="2" t="s">
        <v>17</v>
      </c>
      <c r="G3700" s="2" t="s">
        <v>18</v>
      </c>
      <c r="H3700" s="2" t="s">
        <v>25</v>
      </c>
      <c r="I3700" s="2" t="s">
        <v>26</v>
      </c>
      <c r="J3700" s="2" t="s">
        <v>2212</v>
      </c>
      <c r="K3700" s="2" t="s">
        <v>2356</v>
      </c>
      <c r="L3700" s="3">
        <v>0.38680555555555557</v>
      </c>
      <c r="M3700" s="2" t="s">
        <v>2268</v>
      </c>
      <c r="N3700" s="2" t="s">
        <v>500</v>
      </c>
      <c r="O3700" s="2"/>
    </row>
    <row r="3701" spans="1:15" x14ac:dyDescent="0.25">
      <c r="A3701" s="2" t="s">
        <v>15</v>
      </c>
      <c r="B3701" s="2" t="str">
        <f>"FES1162772342"</f>
        <v>FES1162772342</v>
      </c>
      <c r="C3701" s="2" t="s">
        <v>2282</v>
      </c>
      <c r="D3701" s="2">
        <v>1</v>
      </c>
      <c r="E3701" s="2" t="str">
        <f>"2170758286"</f>
        <v>2170758286</v>
      </c>
      <c r="F3701" s="2" t="s">
        <v>17</v>
      </c>
      <c r="G3701" s="2" t="s">
        <v>18</v>
      </c>
      <c r="H3701" s="2" t="s">
        <v>25</v>
      </c>
      <c r="I3701" s="2" t="s">
        <v>39</v>
      </c>
      <c r="J3701" s="2" t="s">
        <v>40</v>
      </c>
      <c r="K3701" s="2" t="s">
        <v>2356</v>
      </c>
      <c r="L3701" s="3">
        <v>0.41666666666666669</v>
      </c>
      <c r="M3701" s="2" t="s">
        <v>326</v>
      </c>
      <c r="N3701" s="2" t="s">
        <v>500</v>
      </c>
      <c r="O3701" s="2"/>
    </row>
    <row r="3702" spans="1:15" x14ac:dyDescent="0.25">
      <c r="A3702" s="2" t="s">
        <v>15</v>
      </c>
      <c r="B3702" s="2" t="str">
        <f>"FES1162772382"</f>
        <v>FES1162772382</v>
      </c>
      <c r="C3702" s="2" t="s">
        <v>2282</v>
      </c>
      <c r="D3702" s="2">
        <v>1</v>
      </c>
      <c r="E3702" s="2" t="str">
        <f>"2170758056"</f>
        <v>2170758056</v>
      </c>
      <c r="F3702" s="2" t="s">
        <v>17</v>
      </c>
      <c r="G3702" s="2" t="s">
        <v>18</v>
      </c>
      <c r="H3702" s="2" t="s">
        <v>25</v>
      </c>
      <c r="I3702" s="2" t="s">
        <v>26</v>
      </c>
      <c r="J3702" s="2" t="s">
        <v>2366</v>
      </c>
      <c r="K3702" s="2" t="s">
        <v>2356</v>
      </c>
      <c r="L3702" s="3">
        <v>0.41666666666666669</v>
      </c>
      <c r="M3702" s="2" t="s">
        <v>710</v>
      </c>
      <c r="N3702" s="2" t="s">
        <v>500</v>
      </c>
      <c r="O3702" s="2"/>
    </row>
    <row r="3703" spans="1:15" x14ac:dyDescent="0.25">
      <c r="A3703" s="2" t="s">
        <v>15</v>
      </c>
      <c r="B3703" s="2" t="str">
        <f>"FES1162772377"</f>
        <v>FES1162772377</v>
      </c>
      <c r="C3703" s="2" t="s">
        <v>2282</v>
      </c>
      <c r="D3703" s="2">
        <v>1</v>
      </c>
      <c r="E3703" s="2" t="str">
        <f>"2170754591"</f>
        <v>2170754591</v>
      </c>
      <c r="F3703" s="2" t="s">
        <v>17</v>
      </c>
      <c r="G3703" s="2" t="s">
        <v>18</v>
      </c>
      <c r="H3703" s="2" t="s">
        <v>25</v>
      </c>
      <c r="I3703" s="2" t="s">
        <v>345</v>
      </c>
      <c r="J3703" s="2" t="s">
        <v>412</v>
      </c>
      <c r="K3703" s="2" t="s">
        <v>2384</v>
      </c>
      <c r="L3703" s="3">
        <v>0.31944444444444448</v>
      </c>
      <c r="M3703" s="2" t="s">
        <v>703</v>
      </c>
      <c r="N3703" s="2" t="s">
        <v>500</v>
      </c>
      <c r="O3703" s="2"/>
    </row>
    <row r="3704" spans="1:15" x14ac:dyDescent="0.25">
      <c r="A3704" s="2" t="s">
        <v>15</v>
      </c>
      <c r="B3704" s="2" t="str">
        <f>"FES1162772353"</f>
        <v>FES1162772353</v>
      </c>
      <c r="C3704" s="2" t="s">
        <v>2282</v>
      </c>
      <c r="D3704" s="2">
        <v>1</v>
      </c>
      <c r="E3704" s="2" t="str">
        <f>"2170759211"</f>
        <v>2170759211</v>
      </c>
      <c r="F3704" s="2" t="s">
        <v>17</v>
      </c>
      <c r="G3704" s="2" t="s">
        <v>18</v>
      </c>
      <c r="H3704" s="2" t="s">
        <v>18</v>
      </c>
      <c r="I3704" s="2" t="s">
        <v>63</v>
      </c>
      <c r="J3704" s="2" t="s">
        <v>93</v>
      </c>
      <c r="K3704" s="2" t="s">
        <v>2356</v>
      </c>
      <c r="L3704" s="3">
        <v>0.36388888888888887</v>
      </c>
      <c r="M3704" s="2" t="s">
        <v>471</v>
      </c>
      <c r="N3704" s="2" t="s">
        <v>500</v>
      </c>
      <c r="O3704" s="2"/>
    </row>
    <row r="3705" spans="1:15" x14ac:dyDescent="0.25">
      <c r="A3705" s="2" t="s">
        <v>15</v>
      </c>
      <c r="B3705" s="2" t="str">
        <f>"FES1162772255"</f>
        <v>FES1162772255</v>
      </c>
      <c r="C3705" s="2" t="s">
        <v>2282</v>
      </c>
      <c r="D3705" s="2">
        <v>1</v>
      </c>
      <c r="E3705" s="2" t="str">
        <f>"2170758107"</f>
        <v>2170758107</v>
      </c>
      <c r="F3705" s="2" t="s">
        <v>17</v>
      </c>
      <c r="G3705" s="2" t="s">
        <v>18</v>
      </c>
      <c r="H3705" s="2" t="s">
        <v>25</v>
      </c>
      <c r="I3705" s="2" t="s">
        <v>39</v>
      </c>
      <c r="J3705" s="2" t="s">
        <v>40</v>
      </c>
      <c r="K3705" s="2" t="s">
        <v>2356</v>
      </c>
      <c r="L3705" s="3">
        <v>0.41666666666666669</v>
      </c>
      <c r="M3705" s="2" t="s">
        <v>326</v>
      </c>
      <c r="N3705" s="2" t="s">
        <v>500</v>
      </c>
      <c r="O3705" s="2"/>
    </row>
    <row r="3706" spans="1:15" x14ac:dyDescent="0.25">
      <c r="A3706" s="2" t="s">
        <v>15</v>
      </c>
      <c r="B3706" s="2" t="str">
        <f>"FES1162772279"</f>
        <v>FES1162772279</v>
      </c>
      <c r="C3706" s="2" t="s">
        <v>2282</v>
      </c>
      <c r="D3706" s="2">
        <v>1</v>
      </c>
      <c r="E3706" s="2" t="str">
        <f>"2170756661"</f>
        <v>2170756661</v>
      </c>
      <c r="F3706" s="2" t="s">
        <v>17</v>
      </c>
      <c r="G3706" s="2" t="s">
        <v>18</v>
      </c>
      <c r="H3706" s="2" t="s">
        <v>33</v>
      </c>
      <c r="I3706" s="2" t="s">
        <v>34</v>
      </c>
      <c r="J3706" s="2" t="s">
        <v>2362</v>
      </c>
      <c r="K3706" s="2" t="s">
        <v>2356</v>
      </c>
      <c r="L3706" s="3">
        <v>0.41944444444444445</v>
      </c>
      <c r="M3706" s="2" t="s">
        <v>2387</v>
      </c>
      <c r="N3706" s="2" t="s">
        <v>500</v>
      </c>
      <c r="O3706" s="2"/>
    </row>
    <row r="3707" spans="1:15" x14ac:dyDescent="0.25">
      <c r="A3707" s="2" t="s">
        <v>15</v>
      </c>
      <c r="B3707" s="2" t="str">
        <f>"FES1162772258"</f>
        <v>FES1162772258</v>
      </c>
      <c r="C3707" s="2" t="s">
        <v>2282</v>
      </c>
      <c r="D3707" s="2">
        <v>1</v>
      </c>
      <c r="E3707" s="2" t="str">
        <f>"2170758579"</f>
        <v>2170758579</v>
      </c>
      <c r="F3707" s="2" t="s">
        <v>17</v>
      </c>
      <c r="G3707" s="2" t="s">
        <v>18</v>
      </c>
      <c r="H3707" s="2" t="s">
        <v>25</v>
      </c>
      <c r="I3707" s="2" t="s">
        <v>125</v>
      </c>
      <c r="J3707" s="2" t="s">
        <v>126</v>
      </c>
      <c r="K3707" s="2" t="s">
        <v>2356</v>
      </c>
      <c r="L3707" s="3">
        <v>0.54166666666666663</v>
      </c>
      <c r="M3707" s="2" t="s">
        <v>235</v>
      </c>
      <c r="N3707" s="2" t="s">
        <v>500</v>
      </c>
      <c r="O3707" s="2"/>
    </row>
    <row r="3708" spans="1:15" x14ac:dyDescent="0.25">
      <c r="A3708" s="2" t="s">
        <v>15</v>
      </c>
      <c r="B3708" s="2" t="str">
        <f>"FES1162772354"</f>
        <v>FES1162772354</v>
      </c>
      <c r="C3708" s="2" t="s">
        <v>2282</v>
      </c>
      <c r="D3708" s="2">
        <v>1</v>
      </c>
      <c r="E3708" s="2" t="str">
        <f>"2170759212"</f>
        <v>2170759212</v>
      </c>
      <c r="F3708" s="2" t="s">
        <v>17</v>
      </c>
      <c r="G3708" s="2" t="s">
        <v>18</v>
      </c>
      <c r="H3708" s="2" t="s">
        <v>25</v>
      </c>
      <c r="I3708" s="2" t="s">
        <v>345</v>
      </c>
      <c r="J3708" s="2" t="s">
        <v>412</v>
      </c>
      <c r="K3708" s="2" t="s">
        <v>2384</v>
      </c>
      <c r="L3708" s="3">
        <v>0.31944444444444448</v>
      </c>
      <c r="M3708" s="2" t="s">
        <v>703</v>
      </c>
      <c r="N3708" s="2" t="s">
        <v>500</v>
      </c>
      <c r="O3708" s="2"/>
    </row>
    <row r="3709" spans="1:15" x14ac:dyDescent="0.25">
      <c r="A3709" s="2" t="s">
        <v>15</v>
      </c>
      <c r="B3709" s="2" t="str">
        <f>"FES1162772187"</f>
        <v>FES1162772187</v>
      </c>
      <c r="C3709" s="2" t="s">
        <v>2282</v>
      </c>
      <c r="D3709" s="2">
        <v>1</v>
      </c>
      <c r="E3709" s="2" t="str">
        <f>"2170755817"</f>
        <v>2170755817</v>
      </c>
      <c r="F3709" s="2" t="s">
        <v>17</v>
      </c>
      <c r="G3709" s="2" t="s">
        <v>18</v>
      </c>
      <c r="H3709" s="2" t="s">
        <v>36</v>
      </c>
      <c r="I3709" s="2" t="s">
        <v>37</v>
      </c>
      <c r="J3709" s="2" t="s">
        <v>1458</v>
      </c>
      <c r="K3709" s="2" t="s">
        <v>2356</v>
      </c>
      <c r="L3709" s="3">
        <v>0.36805555555555558</v>
      </c>
      <c r="M3709" s="2" t="s">
        <v>672</v>
      </c>
      <c r="N3709" s="2" t="s">
        <v>500</v>
      </c>
      <c r="O3709" s="2"/>
    </row>
    <row r="3710" spans="1:15" x14ac:dyDescent="0.25">
      <c r="A3710" s="2" t="s">
        <v>15</v>
      </c>
      <c r="B3710" s="2" t="str">
        <f>"FES1162772175"</f>
        <v>FES1162772175</v>
      </c>
      <c r="C3710" s="2" t="s">
        <v>2282</v>
      </c>
      <c r="D3710" s="2">
        <v>1</v>
      </c>
      <c r="E3710" s="2" t="str">
        <f>"2170759191"</f>
        <v>2170759191</v>
      </c>
      <c r="F3710" s="2" t="s">
        <v>17</v>
      </c>
      <c r="G3710" s="2" t="s">
        <v>18</v>
      </c>
      <c r="H3710" s="2" t="s">
        <v>33</v>
      </c>
      <c r="I3710" s="2" t="s">
        <v>34</v>
      </c>
      <c r="J3710" s="2" t="s">
        <v>400</v>
      </c>
      <c r="K3710" s="2" t="s">
        <v>2356</v>
      </c>
      <c r="L3710" s="3">
        <v>0.43333333333333335</v>
      </c>
      <c r="M3710" s="2" t="s">
        <v>2401</v>
      </c>
      <c r="N3710" s="2" t="s">
        <v>500</v>
      </c>
      <c r="O3710" s="2"/>
    </row>
    <row r="3711" spans="1:15" x14ac:dyDescent="0.25">
      <c r="A3711" s="2" t="s">
        <v>15</v>
      </c>
      <c r="B3711" s="2" t="str">
        <f>"FES1162772244"</f>
        <v>FES1162772244</v>
      </c>
      <c r="C3711" s="2" t="s">
        <v>2282</v>
      </c>
      <c r="D3711" s="2">
        <v>1</v>
      </c>
      <c r="E3711" s="2" t="str">
        <f>"2170757344"</f>
        <v>2170757344</v>
      </c>
      <c r="F3711" s="2" t="s">
        <v>205</v>
      </c>
      <c r="G3711" s="2" t="s">
        <v>206</v>
      </c>
      <c r="H3711" s="2" t="s">
        <v>206</v>
      </c>
      <c r="I3711" s="2" t="s">
        <v>65</v>
      </c>
      <c r="J3711" s="2" t="s">
        <v>2295</v>
      </c>
      <c r="K3711" s="2" t="s">
        <v>2356</v>
      </c>
      <c r="L3711" s="3">
        <v>0.42291666666666666</v>
      </c>
      <c r="M3711" s="2" t="s">
        <v>2402</v>
      </c>
      <c r="N3711" s="2" t="s">
        <v>500</v>
      </c>
      <c r="O3711" s="2"/>
    </row>
    <row r="3712" spans="1:15" x14ac:dyDescent="0.25">
      <c r="A3712" s="2" t="s">
        <v>15</v>
      </c>
      <c r="B3712" s="2" t="str">
        <f>"FES1162772227"</f>
        <v>FES1162772227</v>
      </c>
      <c r="C3712" s="2" t="s">
        <v>2282</v>
      </c>
      <c r="D3712" s="2">
        <v>1</v>
      </c>
      <c r="E3712" s="2" t="str">
        <f>"2170757133"</f>
        <v>2170757133</v>
      </c>
      <c r="F3712" s="2" t="s">
        <v>17</v>
      </c>
      <c r="G3712" s="2" t="s">
        <v>18</v>
      </c>
      <c r="H3712" s="2" t="s">
        <v>36</v>
      </c>
      <c r="I3712" s="2" t="s">
        <v>37</v>
      </c>
      <c r="J3712" s="2" t="s">
        <v>162</v>
      </c>
      <c r="K3712" s="2" t="s">
        <v>2356</v>
      </c>
      <c r="L3712" s="3">
        <v>0.36736111111111108</v>
      </c>
      <c r="M3712" s="2" t="s">
        <v>268</v>
      </c>
      <c r="N3712" s="2" t="s">
        <v>500</v>
      </c>
      <c r="O3712" s="2"/>
    </row>
    <row r="3713" spans="1:15" x14ac:dyDescent="0.25">
      <c r="A3713" s="2" t="s">
        <v>15</v>
      </c>
      <c r="B3713" s="2" t="str">
        <f>"FES1162772260"</f>
        <v>FES1162772260</v>
      </c>
      <c r="C3713" s="2" t="s">
        <v>2282</v>
      </c>
      <c r="D3713" s="2">
        <v>1</v>
      </c>
      <c r="E3713" s="2" t="str">
        <f>"2170758881"</f>
        <v>2170758881</v>
      </c>
      <c r="F3713" s="2" t="s">
        <v>17</v>
      </c>
      <c r="G3713" s="2" t="s">
        <v>18</v>
      </c>
      <c r="H3713" s="2" t="s">
        <v>88</v>
      </c>
      <c r="I3713" s="2" t="s">
        <v>109</v>
      </c>
      <c r="J3713" s="2" t="s">
        <v>141</v>
      </c>
      <c r="K3713" s="2" t="s">
        <v>2356</v>
      </c>
      <c r="L3713" s="3">
        <v>0.3520833333333333</v>
      </c>
      <c r="M3713" s="2" t="s">
        <v>382</v>
      </c>
      <c r="N3713" s="2" t="s">
        <v>500</v>
      </c>
      <c r="O3713" s="2"/>
    </row>
    <row r="3714" spans="1:15" x14ac:dyDescent="0.25">
      <c r="A3714" s="2" t="s">
        <v>15</v>
      </c>
      <c r="B3714" s="2" t="str">
        <f>"FES1162772345"</f>
        <v>FES1162772345</v>
      </c>
      <c r="C3714" s="2" t="s">
        <v>2282</v>
      </c>
      <c r="D3714" s="2">
        <v>1</v>
      </c>
      <c r="E3714" s="2" t="str">
        <f>"2170758658"</f>
        <v>2170758658</v>
      </c>
      <c r="F3714" s="2" t="s">
        <v>17</v>
      </c>
      <c r="G3714" s="2" t="s">
        <v>18</v>
      </c>
      <c r="H3714" s="2" t="s">
        <v>18</v>
      </c>
      <c r="I3714" s="2" t="s">
        <v>46</v>
      </c>
      <c r="J3714" s="2" t="s">
        <v>153</v>
      </c>
      <c r="K3714" s="2" t="s">
        <v>2356</v>
      </c>
      <c r="L3714" s="3">
        <v>0.41666666666666669</v>
      </c>
      <c r="M3714" s="2" t="s">
        <v>2403</v>
      </c>
      <c r="N3714" s="2" t="s">
        <v>500</v>
      </c>
      <c r="O3714" s="2"/>
    </row>
    <row r="3715" spans="1:15" x14ac:dyDescent="0.25">
      <c r="A3715" s="2" t="s">
        <v>15</v>
      </c>
      <c r="B3715" s="2" t="str">
        <f>"FES1162772322"</f>
        <v>FES1162772322</v>
      </c>
      <c r="C3715" s="2" t="s">
        <v>2282</v>
      </c>
      <c r="D3715" s="2">
        <v>1</v>
      </c>
      <c r="E3715" s="2" t="str">
        <f>"2170757443"</f>
        <v>2170757443</v>
      </c>
      <c r="F3715" s="2" t="s">
        <v>17</v>
      </c>
      <c r="G3715" s="2" t="s">
        <v>18</v>
      </c>
      <c r="H3715" s="2" t="s">
        <v>18</v>
      </c>
      <c r="I3715" s="2" t="s">
        <v>63</v>
      </c>
      <c r="J3715" s="2" t="s">
        <v>93</v>
      </c>
      <c r="K3715" s="2" t="s">
        <v>2356</v>
      </c>
      <c r="L3715" s="3">
        <v>0.36388888888888887</v>
      </c>
      <c r="M3715" s="2" t="s">
        <v>471</v>
      </c>
      <c r="N3715" s="2" t="s">
        <v>500</v>
      </c>
      <c r="O3715" s="2"/>
    </row>
    <row r="3716" spans="1:15" x14ac:dyDescent="0.25">
      <c r="A3716" s="2" t="s">
        <v>15</v>
      </c>
      <c r="B3716" s="2" t="str">
        <f>"FES1162772343"</f>
        <v>FES1162772343</v>
      </c>
      <c r="C3716" s="2" t="s">
        <v>2282</v>
      </c>
      <c r="D3716" s="2">
        <v>1</v>
      </c>
      <c r="E3716" s="2" t="str">
        <f>"2170758363"</f>
        <v>2170758363</v>
      </c>
      <c r="F3716" s="2" t="s">
        <v>17</v>
      </c>
      <c r="G3716" s="2" t="s">
        <v>18</v>
      </c>
      <c r="H3716" s="2" t="s">
        <v>18</v>
      </c>
      <c r="I3716" s="2" t="s">
        <v>63</v>
      </c>
      <c r="J3716" s="2" t="s">
        <v>93</v>
      </c>
      <c r="K3716" s="2" t="s">
        <v>2356</v>
      </c>
      <c r="L3716" s="3">
        <v>0.36458333333333331</v>
      </c>
      <c r="M3716" s="2" t="s">
        <v>471</v>
      </c>
      <c r="N3716" s="2" t="s">
        <v>500</v>
      </c>
      <c r="O3716" s="2"/>
    </row>
    <row r="3717" spans="1:15" x14ac:dyDescent="0.25">
      <c r="A3717" s="2" t="s">
        <v>15</v>
      </c>
      <c r="B3717" s="2" t="str">
        <f>"FES1162772205"</f>
        <v>FES1162772205</v>
      </c>
      <c r="C3717" s="2" t="s">
        <v>2282</v>
      </c>
      <c r="D3717" s="2">
        <v>1</v>
      </c>
      <c r="E3717" s="2" t="str">
        <f>"2170756938"</f>
        <v>2170756938</v>
      </c>
      <c r="F3717" s="2" t="s">
        <v>17</v>
      </c>
      <c r="G3717" s="2" t="s">
        <v>18</v>
      </c>
      <c r="H3717" s="2" t="s">
        <v>88</v>
      </c>
      <c r="I3717" s="2" t="s">
        <v>109</v>
      </c>
      <c r="J3717" s="2" t="s">
        <v>141</v>
      </c>
      <c r="K3717" s="2" t="s">
        <v>2356</v>
      </c>
      <c r="L3717" s="3">
        <v>0.3520833333333333</v>
      </c>
      <c r="M3717" s="2" t="s">
        <v>382</v>
      </c>
      <c r="N3717" s="2" t="s">
        <v>500</v>
      </c>
      <c r="O3717" s="2"/>
    </row>
    <row r="3718" spans="1:15" x14ac:dyDescent="0.25">
      <c r="A3718" s="2" t="s">
        <v>15</v>
      </c>
      <c r="B3718" s="2" t="str">
        <f>"FES1162772295"</f>
        <v>FES1162772295</v>
      </c>
      <c r="C3718" s="2" t="s">
        <v>2282</v>
      </c>
      <c r="D3718" s="2">
        <v>1</v>
      </c>
      <c r="E3718" s="2" t="str">
        <f>"2170757038"</f>
        <v>2170757038</v>
      </c>
      <c r="F3718" s="2" t="s">
        <v>17</v>
      </c>
      <c r="G3718" s="2" t="s">
        <v>18</v>
      </c>
      <c r="H3718" s="2" t="s">
        <v>18</v>
      </c>
      <c r="I3718" s="2" t="s">
        <v>46</v>
      </c>
      <c r="J3718" s="2" t="s">
        <v>426</v>
      </c>
      <c r="K3718" s="2" t="s">
        <v>2356</v>
      </c>
      <c r="L3718" s="3">
        <v>0.40972222222222227</v>
      </c>
      <c r="M3718" s="2" t="s">
        <v>389</v>
      </c>
      <c r="N3718" s="2" t="s">
        <v>500</v>
      </c>
      <c r="O3718" s="2"/>
    </row>
    <row r="3719" spans="1:15" x14ac:dyDescent="0.25">
      <c r="A3719" s="2" t="s">
        <v>15</v>
      </c>
      <c r="B3719" s="2" t="str">
        <f>"FES1162772380"</f>
        <v>FES1162772380</v>
      </c>
      <c r="C3719" s="2" t="s">
        <v>2282</v>
      </c>
      <c r="D3719" s="2">
        <v>1</v>
      </c>
      <c r="E3719" s="2" t="str">
        <f>"2170759239"</f>
        <v>2170759239</v>
      </c>
      <c r="F3719" s="2" t="s">
        <v>17</v>
      </c>
      <c r="G3719" s="2" t="s">
        <v>18</v>
      </c>
      <c r="H3719" s="2" t="s">
        <v>88</v>
      </c>
      <c r="I3719" s="2" t="s">
        <v>89</v>
      </c>
      <c r="J3719" s="2" t="s">
        <v>2367</v>
      </c>
      <c r="K3719" s="2" t="s">
        <v>2356</v>
      </c>
      <c r="L3719" s="3">
        <v>0.61805555555555558</v>
      </c>
      <c r="M3719" s="2" t="s">
        <v>2404</v>
      </c>
      <c r="N3719" s="2" t="s">
        <v>500</v>
      </c>
      <c r="O3719" s="2"/>
    </row>
    <row r="3720" spans="1:15" x14ac:dyDescent="0.25">
      <c r="A3720" s="2" t="s">
        <v>15</v>
      </c>
      <c r="B3720" s="2" t="str">
        <f>"FES1162772288"</f>
        <v>FES1162772288</v>
      </c>
      <c r="C3720" s="2" t="s">
        <v>2282</v>
      </c>
      <c r="D3720" s="2">
        <v>1</v>
      </c>
      <c r="E3720" s="2" t="str">
        <f>"2170756914"</f>
        <v>2170756914</v>
      </c>
      <c r="F3720" s="2" t="s">
        <v>17</v>
      </c>
      <c r="G3720" s="2" t="s">
        <v>18</v>
      </c>
      <c r="H3720" s="2" t="s">
        <v>18</v>
      </c>
      <c r="I3720" s="2" t="s">
        <v>116</v>
      </c>
      <c r="J3720" s="2" t="s">
        <v>169</v>
      </c>
      <c r="K3720" s="2" t="s">
        <v>2356</v>
      </c>
      <c r="L3720" s="3">
        <v>0.35416666666666669</v>
      </c>
      <c r="M3720" s="2" t="s">
        <v>1986</v>
      </c>
      <c r="N3720" s="2" t="s">
        <v>500</v>
      </c>
      <c r="O3720" s="2"/>
    </row>
    <row r="3721" spans="1:15" x14ac:dyDescent="0.25">
      <c r="A3721" s="2" t="s">
        <v>15</v>
      </c>
      <c r="B3721" s="2" t="str">
        <f>"FES1162772212"</f>
        <v>FES1162772212</v>
      </c>
      <c r="C3721" s="2" t="s">
        <v>2282</v>
      </c>
      <c r="D3721" s="2">
        <v>1</v>
      </c>
      <c r="E3721" s="2" t="str">
        <f>"2170756984"</f>
        <v>2170756984</v>
      </c>
      <c r="F3721" s="2" t="s">
        <v>17</v>
      </c>
      <c r="G3721" s="2" t="s">
        <v>18</v>
      </c>
      <c r="H3721" s="2" t="s">
        <v>19</v>
      </c>
      <c r="I3721" s="2" t="s">
        <v>111</v>
      </c>
      <c r="J3721" s="2" t="s">
        <v>112</v>
      </c>
      <c r="K3721" s="2" t="s">
        <v>2356</v>
      </c>
      <c r="L3721" s="3">
        <v>0.51388888888888895</v>
      </c>
      <c r="M3721" s="2" t="s">
        <v>225</v>
      </c>
      <c r="N3721" s="2" t="s">
        <v>500</v>
      </c>
      <c r="O3721" s="2"/>
    </row>
    <row r="3722" spans="1:15" x14ac:dyDescent="0.25">
      <c r="A3722" s="2" t="s">
        <v>15</v>
      </c>
      <c r="B3722" s="2" t="str">
        <f>"FES1162772229"</f>
        <v>FES1162772229</v>
      </c>
      <c r="C3722" s="2" t="s">
        <v>2282</v>
      </c>
      <c r="D3722" s="2">
        <v>1</v>
      </c>
      <c r="E3722" s="2" t="str">
        <f>"2170757158"</f>
        <v>2170757158</v>
      </c>
      <c r="F3722" s="2" t="s">
        <v>17</v>
      </c>
      <c r="G3722" s="2" t="s">
        <v>18</v>
      </c>
      <c r="H3722" s="2" t="s">
        <v>19</v>
      </c>
      <c r="I3722" s="2" t="s">
        <v>20</v>
      </c>
      <c r="J3722" s="2" t="s">
        <v>1321</v>
      </c>
      <c r="K3722" s="2" t="s">
        <v>2356</v>
      </c>
      <c r="L3722" s="3">
        <v>0.39027777777777778</v>
      </c>
      <c r="M3722" s="2" t="s">
        <v>2405</v>
      </c>
      <c r="N3722" s="2" t="s">
        <v>500</v>
      </c>
      <c r="O3722" s="2"/>
    </row>
    <row r="3723" spans="1:15" x14ac:dyDescent="0.25">
      <c r="A3723" s="2" t="s">
        <v>15</v>
      </c>
      <c r="B3723" s="2" t="str">
        <f>"FES1162772225"</f>
        <v>FES1162772225</v>
      </c>
      <c r="C3723" s="2" t="s">
        <v>2282</v>
      </c>
      <c r="D3723" s="2">
        <v>1</v>
      </c>
      <c r="E3723" s="2" t="str">
        <f>"2170757127"</f>
        <v>2170757127</v>
      </c>
      <c r="F3723" s="2" t="s">
        <v>17</v>
      </c>
      <c r="G3723" s="2" t="s">
        <v>18</v>
      </c>
      <c r="H3723" s="2" t="s">
        <v>19</v>
      </c>
      <c r="I3723" s="2" t="s">
        <v>111</v>
      </c>
      <c r="J3723" s="2" t="s">
        <v>143</v>
      </c>
      <c r="K3723" s="2" t="s">
        <v>2356</v>
      </c>
      <c r="L3723" s="3">
        <v>0.35486111111111113</v>
      </c>
      <c r="M3723" s="2" t="s">
        <v>144</v>
      </c>
      <c r="N3723" s="2" t="s">
        <v>500</v>
      </c>
      <c r="O3723" s="2"/>
    </row>
    <row r="3724" spans="1:15" x14ac:dyDescent="0.25">
      <c r="A3724" s="2" t="s">
        <v>15</v>
      </c>
      <c r="B3724" s="2" t="str">
        <f>"FES1162772185"</f>
        <v>FES1162772185</v>
      </c>
      <c r="C3724" s="2" t="s">
        <v>2282</v>
      </c>
      <c r="D3724" s="2">
        <v>1</v>
      </c>
      <c r="E3724" s="2" t="str">
        <f>"2170754684"</f>
        <v>2170754684</v>
      </c>
      <c r="F3724" s="2" t="s">
        <v>17</v>
      </c>
      <c r="G3724" s="2" t="s">
        <v>18</v>
      </c>
      <c r="H3724" s="2" t="s">
        <v>19</v>
      </c>
      <c r="I3724" s="2" t="s">
        <v>20</v>
      </c>
      <c r="J3724" s="2" t="s">
        <v>1724</v>
      </c>
      <c r="K3724" s="2" t="s">
        <v>2356</v>
      </c>
      <c r="L3724" s="3">
        <v>0.39999999999999997</v>
      </c>
      <c r="M3724" s="2" t="s">
        <v>2406</v>
      </c>
      <c r="N3724" s="2" t="s">
        <v>500</v>
      </c>
      <c r="O3724" s="2"/>
    </row>
    <row r="3725" spans="1:15" x14ac:dyDescent="0.25">
      <c r="A3725" s="2" t="s">
        <v>15</v>
      </c>
      <c r="B3725" s="2" t="str">
        <f>"FES1162772334"</f>
        <v>FES1162772334</v>
      </c>
      <c r="C3725" s="2" t="s">
        <v>2282</v>
      </c>
      <c r="D3725" s="2">
        <v>1</v>
      </c>
      <c r="E3725" s="2" t="str">
        <f>"2170757506"</f>
        <v>2170757506</v>
      </c>
      <c r="F3725" s="2" t="s">
        <v>17</v>
      </c>
      <c r="G3725" s="2" t="s">
        <v>18</v>
      </c>
      <c r="H3725" s="2" t="s">
        <v>19</v>
      </c>
      <c r="I3725" s="2" t="s">
        <v>73</v>
      </c>
      <c r="J3725" s="2" t="s">
        <v>1226</v>
      </c>
      <c r="K3725" s="2" t="s">
        <v>2356</v>
      </c>
      <c r="L3725" s="3">
        <v>0.53055555555555556</v>
      </c>
      <c r="M3725" s="2" t="s">
        <v>744</v>
      </c>
      <c r="N3725" s="2" t="s">
        <v>500</v>
      </c>
      <c r="O3725" s="2"/>
    </row>
    <row r="3726" spans="1:15" x14ac:dyDescent="0.25">
      <c r="A3726" s="2" t="s">
        <v>15</v>
      </c>
      <c r="B3726" s="2" t="str">
        <f>"FES1162772194"</f>
        <v>FES1162772194</v>
      </c>
      <c r="C3726" s="2" t="s">
        <v>2282</v>
      </c>
      <c r="D3726" s="2">
        <v>1</v>
      </c>
      <c r="E3726" s="2" t="str">
        <f>"2170756857"</f>
        <v>2170756857</v>
      </c>
      <c r="F3726" s="2" t="s">
        <v>17</v>
      </c>
      <c r="G3726" s="2" t="s">
        <v>18</v>
      </c>
      <c r="H3726" s="2" t="s">
        <v>25</v>
      </c>
      <c r="I3726" s="2" t="s">
        <v>26</v>
      </c>
      <c r="J3726" s="2" t="s">
        <v>75</v>
      </c>
      <c r="K3726" s="2" t="s">
        <v>2356</v>
      </c>
      <c r="L3726" s="3">
        <v>0.38680555555555557</v>
      </c>
      <c r="M3726" s="2" t="s">
        <v>1329</v>
      </c>
      <c r="N3726" s="2" t="s">
        <v>500</v>
      </c>
      <c r="O3726" s="2"/>
    </row>
    <row r="3727" spans="1:15" x14ac:dyDescent="0.25">
      <c r="A3727" s="2" t="s">
        <v>15</v>
      </c>
      <c r="B3727" s="2" t="str">
        <f>"FES1162772188"</f>
        <v>FES1162772188</v>
      </c>
      <c r="C3727" s="2" t="s">
        <v>2282</v>
      </c>
      <c r="D3727" s="2">
        <v>1</v>
      </c>
      <c r="E3727" s="2" t="str">
        <f>"2170756222"</f>
        <v>2170756222</v>
      </c>
      <c r="F3727" s="2" t="s">
        <v>17</v>
      </c>
      <c r="G3727" s="2" t="s">
        <v>18</v>
      </c>
      <c r="H3727" s="2" t="s">
        <v>25</v>
      </c>
      <c r="I3727" s="2" t="s">
        <v>26</v>
      </c>
      <c r="J3727" s="2" t="s">
        <v>28</v>
      </c>
      <c r="K3727" s="2" t="s">
        <v>2356</v>
      </c>
      <c r="L3727" s="3">
        <v>0.34236111111111112</v>
      </c>
      <c r="M3727" s="2" t="s">
        <v>172</v>
      </c>
      <c r="N3727" s="2" t="s">
        <v>500</v>
      </c>
      <c r="O3727" s="2"/>
    </row>
    <row r="3728" spans="1:15" x14ac:dyDescent="0.25">
      <c r="A3728" s="2" t="s">
        <v>15</v>
      </c>
      <c r="B3728" s="2" t="str">
        <f>"FES1162772269"</f>
        <v>FES1162772269</v>
      </c>
      <c r="C3728" s="2" t="s">
        <v>2282</v>
      </c>
      <c r="D3728" s="2">
        <v>1</v>
      </c>
      <c r="E3728" s="2" t="str">
        <f>"2170759162"</f>
        <v>2170759162</v>
      </c>
      <c r="F3728" s="2" t="s">
        <v>17</v>
      </c>
      <c r="G3728" s="2" t="s">
        <v>18</v>
      </c>
      <c r="H3728" s="2" t="s">
        <v>18</v>
      </c>
      <c r="I3728" s="2" t="s">
        <v>46</v>
      </c>
      <c r="J3728" s="2" t="s">
        <v>139</v>
      </c>
      <c r="K3728" s="2" t="s">
        <v>2356</v>
      </c>
      <c r="L3728" s="3">
        <v>0.30208333333333331</v>
      </c>
      <c r="M3728" s="2" t="s">
        <v>2389</v>
      </c>
      <c r="N3728" s="2" t="s">
        <v>500</v>
      </c>
      <c r="O3728" s="2"/>
    </row>
    <row r="3729" spans="1:15" x14ac:dyDescent="0.25">
      <c r="A3729" s="2" t="s">
        <v>15</v>
      </c>
      <c r="B3729" s="2" t="str">
        <f>"FES1162772252"</f>
        <v>FES1162772252</v>
      </c>
      <c r="C3729" s="2" t="s">
        <v>2282</v>
      </c>
      <c r="D3729" s="2">
        <v>1</v>
      </c>
      <c r="E3729" s="2" t="str">
        <f>"2170757907"</f>
        <v>2170757907</v>
      </c>
      <c r="F3729" s="2" t="s">
        <v>17</v>
      </c>
      <c r="G3729" s="2" t="s">
        <v>18</v>
      </c>
      <c r="H3729" s="2" t="s">
        <v>18</v>
      </c>
      <c r="I3729" s="2" t="s">
        <v>46</v>
      </c>
      <c r="J3729" s="2" t="s">
        <v>139</v>
      </c>
      <c r="K3729" s="2" t="s">
        <v>2356</v>
      </c>
      <c r="L3729" s="3">
        <v>0.30208333333333331</v>
      </c>
      <c r="M3729" s="2" t="s">
        <v>2389</v>
      </c>
      <c r="N3729" s="2" t="s">
        <v>500</v>
      </c>
      <c r="O3729" s="2"/>
    </row>
    <row r="3730" spans="1:15" x14ac:dyDescent="0.25">
      <c r="A3730" s="2" t="s">
        <v>15</v>
      </c>
      <c r="B3730" s="2" t="str">
        <f>"FES1162772228"</f>
        <v>FES1162772228</v>
      </c>
      <c r="C3730" s="2" t="s">
        <v>2282</v>
      </c>
      <c r="D3730" s="2">
        <v>1</v>
      </c>
      <c r="E3730" s="2" t="str">
        <f>"2170757135"</f>
        <v>2170757135</v>
      </c>
      <c r="F3730" s="2" t="s">
        <v>17</v>
      </c>
      <c r="G3730" s="2" t="s">
        <v>18</v>
      </c>
      <c r="H3730" s="2" t="s">
        <v>18</v>
      </c>
      <c r="I3730" s="2" t="s">
        <v>46</v>
      </c>
      <c r="J3730" s="2" t="s">
        <v>139</v>
      </c>
      <c r="K3730" s="2" t="s">
        <v>2356</v>
      </c>
      <c r="L3730" s="3">
        <v>0.30208333333333331</v>
      </c>
      <c r="M3730" s="2" t="s">
        <v>2389</v>
      </c>
      <c r="N3730" s="2" t="s">
        <v>500</v>
      </c>
      <c r="O3730" s="2"/>
    </row>
    <row r="3731" spans="1:15" x14ac:dyDescent="0.25">
      <c r="A3731" s="2" t="s">
        <v>15</v>
      </c>
      <c r="B3731" s="2" t="str">
        <f>"FES1162772414"</f>
        <v>FES1162772414</v>
      </c>
      <c r="C3731" s="2" t="s">
        <v>2282</v>
      </c>
      <c r="D3731" s="2">
        <v>1</v>
      </c>
      <c r="E3731" s="2" t="str">
        <f>"2170759286"</f>
        <v>2170759286</v>
      </c>
      <c r="F3731" s="2" t="s">
        <v>17</v>
      </c>
      <c r="G3731" s="2" t="s">
        <v>18</v>
      </c>
      <c r="H3731" s="2" t="s">
        <v>30</v>
      </c>
      <c r="I3731" s="2" t="s">
        <v>444</v>
      </c>
      <c r="J3731" s="2" t="s">
        <v>445</v>
      </c>
      <c r="K3731" s="2" t="s">
        <v>2356</v>
      </c>
      <c r="L3731" s="3">
        <v>0.50486111111111109</v>
      </c>
      <c r="M3731" s="2" t="s">
        <v>1914</v>
      </c>
      <c r="N3731" s="2" t="s">
        <v>500</v>
      </c>
      <c r="O3731" s="2"/>
    </row>
    <row r="3732" spans="1:15" x14ac:dyDescent="0.25">
      <c r="A3732" s="2" t="s">
        <v>15</v>
      </c>
      <c r="B3732" s="2" t="str">
        <f>"FES1162772391"</f>
        <v>FES1162772391</v>
      </c>
      <c r="C3732" s="2" t="s">
        <v>2282</v>
      </c>
      <c r="D3732" s="2">
        <v>1</v>
      </c>
      <c r="E3732" s="2" t="str">
        <f>"2170759257"</f>
        <v>2170759257</v>
      </c>
      <c r="F3732" s="2" t="s">
        <v>17</v>
      </c>
      <c r="G3732" s="2" t="s">
        <v>18</v>
      </c>
      <c r="H3732" s="2" t="s">
        <v>25</v>
      </c>
      <c r="I3732" s="2" t="s">
        <v>26</v>
      </c>
      <c r="J3732" s="2" t="s">
        <v>1288</v>
      </c>
      <c r="K3732" s="2" t="s">
        <v>2356</v>
      </c>
      <c r="L3732" s="3">
        <v>0.41736111111111113</v>
      </c>
      <c r="M3732" s="2" t="s">
        <v>1340</v>
      </c>
      <c r="N3732" s="2" t="s">
        <v>500</v>
      </c>
      <c r="O3732" s="2"/>
    </row>
    <row r="3733" spans="1:15" x14ac:dyDescent="0.25">
      <c r="A3733" s="2" t="s">
        <v>15</v>
      </c>
      <c r="B3733" s="2" t="str">
        <f>"FES1162772300"</f>
        <v>FES1162772300</v>
      </c>
      <c r="C3733" s="2" t="s">
        <v>2282</v>
      </c>
      <c r="D3733" s="2">
        <v>1</v>
      </c>
      <c r="E3733" s="2" t="str">
        <f>"2170757191"</f>
        <v>2170757191</v>
      </c>
      <c r="F3733" s="2" t="s">
        <v>17</v>
      </c>
      <c r="G3733" s="2" t="s">
        <v>18</v>
      </c>
      <c r="H3733" s="2" t="s">
        <v>18</v>
      </c>
      <c r="I3733" s="2" t="s">
        <v>46</v>
      </c>
      <c r="J3733" s="2" t="s">
        <v>1419</v>
      </c>
      <c r="K3733" s="2" t="s">
        <v>2356</v>
      </c>
      <c r="L3733" s="3">
        <v>0.39583333333333331</v>
      </c>
      <c r="M3733" s="2" t="s">
        <v>732</v>
      </c>
      <c r="N3733" s="2" t="s">
        <v>500</v>
      </c>
      <c r="O3733" s="2"/>
    </row>
    <row r="3734" spans="1:15" x14ac:dyDescent="0.25">
      <c r="A3734" s="2" t="s">
        <v>15</v>
      </c>
      <c r="B3734" s="2" t="str">
        <f>"FES1162772287"</f>
        <v>FES1162772287</v>
      </c>
      <c r="C3734" s="2" t="s">
        <v>2282</v>
      </c>
      <c r="D3734" s="2">
        <v>1</v>
      </c>
      <c r="E3734" s="2" t="str">
        <f>"2170756894"</f>
        <v>2170756894</v>
      </c>
      <c r="F3734" s="2" t="s">
        <v>17</v>
      </c>
      <c r="G3734" s="2" t="s">
        <v>18</v>
      </c>
      <c r="H3734" s="2" t="s">
        <v>18</v>
      </c>
      <c r="I3734" s="2" t="s">
        <v>57</v>
      </c>
      <c r="J3734" s="2" t="s">
        <v>58</v>
      </c>
      <c r="K3734" s="2" t="s">
        <v>2356</v>
      </c>
      <c r="L3734" s="3">
        <v>0.4152777777777778</v>
      </c>
      <c r="M3734" s="2" t="s">
        <v>1385</v>
      </c>
      <c r="N3734" s="2" t="s">
        <v>500</v>
      </c>
      <c r="O3734" s="2"/>
    </row>
    <row r="3735" spans="1:15" x14ac:dyDescent="0.25">
      <c r="A3735" s="2" t="s">
        <v>15</v>
      </c>
      <c r="B3735" s="2" t="str">
        <f>"FES1162772204"</f>
        <v>FES1162772204</v>
      </c>
      <c r="C3735" s="2" t="s">
        <v>2282</v>
      </c>
      <c r="D3735" s="2">
        <v>3</v>
      </c>
      <c r="E3735" s="2" t="str">
        <f>"2170756914 ."</f>
        <v>2170756914 .</v>
      </c>
      <c r="F3735" s="2" t="s">
        <v>205</v>
      </c>
      <c r="G3735" s="2" t="s">
        <v>206</v>
      </c>
      <c r="H3735" s="2" t="s">
        <v>206</v>
      </c>
      <c r="I3735" s="2" t="s">
        <v>116</v>
      </c>
      <c r="J3735" s="2" t="s">
        <v>169</v>
      </c>
      <c r="K3735" s="2" t="s">
        <v>2356</v>
      </c>
      <c r="L3735" s="3">
        <v>0.35416666666666669</v>
      </c>
      <c r="M3735" s="2" t="s">
        <v>1986</v>
      </c>
      <c r="N3735" s="2" t="s">
        <v>500</v>
      </c>
      <c r="O3735" s="2"/>
    </row>
    <row r="3736" spans="1:15" x14ac:dyDescent="0.25">
      <c r="A3736" s="2" t="s">
        <v>15</v>
      </c>
      <c r="B3736" s="2" t="str">
        <f>"FES1162772398"</f>
        <v>FES1162772398</v>
      </c>
      <c r="C3736" s="2" t="s">
        <v>2282</v>
      </c>
      <c r="D3736" s="2">
        <v>1</v>
      </c>
      <c r="E3736" s="2" t="str">
        <f>"2170759269"</f>
        <v>2170759269</v>
      </c>
      <c r="F3736" s="2" t="s">
        <v>17</v>
      </c>
      <c r="G3736" s="2" t="s">
        <v>18</v>
      </c>
      <c r="H3736" s="2" t="s">
        <v>25</v>
      </c>
      <c r="I3736" s="2" t="s">
        <v>125</v>
      </c>
      <c r="J3736" s="2" t="s">
        <v>126</v>
      </c>
      <c r="K3736" s="2" t="s">
        <v>2356</v>
      </c>
      <c r="L3736" s="3">
        <v>0.54166666666666663</v>
      </c>
      <c r="M3736" s="2" t="s">
        <v>235</v>
      </c>
      <c r="N3736" s="2" t="s">
        <v>500</v>
      </c>
      <c r="O3736" s="2"/>
    </row>
    <row r="3737" spans="1:15" x14ac:dyDescent="0.25">
      <c r="A3737" s="2" t="s">
        <v>15</v>
      </c>
      <c r="B3737" s="2" t="str">
        <f>"FES1162772292"</f>
        <v>FES1162772292</v>
      </c>
      <c r="C3737" s="2" t="s">
        <v>2282</v>
      </c>
      <c r="D3737" s="2">
        <v>1</v>
      </c>
      <c r="E3737" s="2" t="str">
        <f>"2170756993"</f>
        <v>2170756993</v>
      </c>
      <c r="F3737" s="2" t="s">
        <v>17</v>
      </c>
      <c r="G3737" s="2" t="s">
        <v>18</v>
      </c>
      <c r="H3737" s="2" t="s">
        <v>18</v>
      </c>
      <c r="I3737" s="2" t="s">
        <v>46</v>
      </c>
      <c r="J3737" s="2" t="s">
        <v>1414</v>
      </c>
      <c r="K3737" s="2" t="s">
        <v>2356</v>
      </c>
      <c r="L3737" s="3">
        <v>0.3923611111111111</v>
      </c>
      <c r="M3737" s="2" t="s">
        <v>354</v>
      </c>
      <c r="N3737" s="2" t="s">
        <v>500</v>
      </c>
      <c r="O3737" s="2"/>
    </row>
    <row r="3738" spans="1:15" x14ac:dyDescent="0.25">
      <c r="A3738" s="2" t="s">
        <v>15</v>
      </c>
      <c r="B3738" s="2" t="str">
        <f>"FES1162772318"</f>
        <v>FES1162772318</v>
      </c>
      <c r="C3738" s="2" t="s">
        <v>2282</v>
      </c>
      <c r="D3738" s="2">
        <v>1</v>
      </c>
      <c r="E3738" s="2" t="str">
        <f>"2170757423"</f>
        <v>2170757423</v>
      </c>
      <c r="F3738" s="2" t="s">
        <v>17</v>
      </c>
      <c r="G3738" s="2" t="s">
        <v>18</v>
      </c>
      <c r="H3738" s="2" t="s">
        <v>25</v>
      </c>
      <c r="I3738" s="2" t="s">
        <v>26</v>
      </c>
      <c r="J3738" s="2" t="s">
        <v>27</v>
      </c>
      <c r="K3738" s="2" t="s">
        <v>2356</v>
      </c>
      <c r="L3738" s="3">
        <v>0.39513888888888887</v>
      </c>
      <c r="M3738" s="2" t="s">
        <v>521</v>
      </c>
      <c r="N3738" s="2" t="s">
        <v>500</v>
      </c>
      <c r="O3738" s="2"/>
    </row>
    <row r="3739" spans="1:15" x14ac:dyDescent="0.25">
      <c r="A3739" s="2" t="s">
        <v>15</v>
      </c>
      <c r="B3739" s="2" t="str">
        <f>"FES1162772210"</f>
        <v>FES1162772210</v>
      </c>
      <c r="C3739" s="2" t="s">
        <v>2282</v>
      </c>
      <c r="D3739" s="2">
        <v>1</v>
      </c>
      <c r="E3739" s="2" t="str">
        <f>"2170756977"</f>
        <v>2170756977</v>
      </c>
      <c r="F3739" s="2" t="s">
        <v>17</v>
      </c>
      <c r="G3739" s="2" t="s">
        <v>18</v>
      </c>
      <c r="H3739" s="2" t="s">
        <v>18</v>
      </c>
      <c r="I3739" s="2" t="s">
        <v>52</v>
      </c>
      <c r="J3739" s="2" t="s">
        <v>53</v>
      </c>
      <c r="K3739" s="2" t="s">
        <v>2356</v>
      </c>
      <c r="L3739" s="3">
        <v>0.3972222222222222</v>
      </c>
      <c r="M3739" s="2" t="s">
        <v>1158</v>
      </c>
      <c r="N3739" s="2" t="s">
        <v>500</v>
      </c>
      <c r="O3739" s="2"/>
    </row>
    <row r="3740" spans="1:15" x14ac:dyDescent="0.25">
      <c r="A3740" s="2" t="s">
        <v>15</v>
      </c>
      <c r="B3740" s="2" t="str">
        <f>"FES1162772202"</f>
        <v>FES1162772202</v>
      </c>
      <c r="C3740" s="2" t="s">
        <v>2282</v>
      </c>
      <c r="D3740" s="2">
        <v>1</v>
      </c>
      <c r="E3740" s="2" t="str">
        <f>"2170756896"</f>
        <v>2170756896</v>
      </c>
      <c r="F3740" s="2" t="s">
        <v>17</v>
      </c>
      <c r="G3740" s="2" t="s">
        <v>18</v>
      </c>
      <c r="H3740" s="2" t="s">
        <v>18</v>
      </c>
      <c r="I3740" s="2" t="s">
        <v>57</v>
      </c>
      <c r="J3740" s="2" t="s">
        <v>92</v>
      </c>
      <c r="K3740" s="2" t="s">
        <v>2356</v>
      </c>
      <c r="L3740" s="3">
        <v>0.3298611111111111</v>
      </c>
      <c r="M3740" s="2" t="s">
        <v>2407</v>
      </c>
      <c r="N3740" s="2" t="s">
        <v>500</v>
      </c>
      <c r="O3740" s="2"/>
    </row>
    <row r="3741" spans="1:15" x14ac:dyDescent="0.25">
      <c r="A3741" s="2" t="s">
        <v>15</v>
      </c>
      <c r="B3741" s="2" t="str">
        <f>"FES1162772268"</f>
        <v>FES1162772268</v>
      </c>
      <c r="C3741" s="2" t="s">
        <v>2282</v>
      </c>
      <c r="D3741" s="2">
        <v>1</v>
      </c>
      <c r="E3741" s="2" t="str">
        <f>"2170759126"</f>
        <v>2170759126</v>
      </c>
      <c r="F3741" s="2" t="s">
        <v>17</v>
      </c>
      <c r="G3741" s="2" t="s">
        <v>18</v>
      </c>
      <c r="H3741" s="2" t="s">
        <v>18</v>
      </c>
      <c r="I3741" s="2" t="s">
        <v>57</v>
      </c>
      <c r="J3741" s="2" t="s">
        <v>1405</v>
      </c>
      <c r="K3741" s="2" t="s">
        <v>2356</v>
      </c>
      <c r="L3741" s="3">
        <v>0.375</v>
      </c>
      <c r="M3741" s="2" t="s">
        <v>1484</v>
      </c>
      <c r="N3741" s="2" t="s">
        <v>500</v>
      </c>
      <c r="O3741" s="2"/>
    </row>
    <row r="3742" spans="1:15" x14ac:dyDescent="0.25">
      <c r="A3742" s="2" t="s">
        <v>15</v>
      </c>
      <c r="B3742" s="2" t="str">
        <f>"FES1162772191"</f>
        <v>FES1162772191</v>
      </c>
      <c r="C3742" s="2" t="s">
        <v>2282</v>
      </c>
      <c r="D3742" s="2">
        <v>1</v>
      </c>
      <c r="E3742" s="2" t="str">
        <f>"2170756789"</f>
        <v>2170756789</v>
      </c>
      <c r="F3742" s="2" t="s">
        <v>17</v>
      </c>
      <c r="G3742" s="2" t="s">
        <v>18</v>
      </c>
      <c r="H3742" s="2" t="s">
        <v>18</v>
      </c>
      <c r="I3742" s="2" t="s">
        <v>52</v>
      </c>
      <c r="J3742" s="2" t="s">
        <v>1460</v>
      </c>
      <c r="K3742" s="2" t="s">
        <v>2356</v>
      </c>
      <c r="L3742" s="3">
        <v>0.41666666666666669</v>
      </c>
      <c r="M3742" s="2" t="s">
        <v>2408</v>
      </c>
      <c r="N3742" s="2" t="s">
        <v>500</v>
      </c>
      <c r="O3742" s="2"/>
    </row>
    <row r="3743" spans="1:15" x14ac:dyDescent="0.25">
      <c r="A3743" s="2" t="s">
        <v>15</v>
      </c>
      <c r="B3743" s="2" t="str">
        <f>"FES1162772335"</f>
        <v>FES1162772335</v>
      </c>
      <c r="C3743" s="2" t="s">
        <v>2282</v>
      </c>
      <c r="D3743" s="2">
        <v>1</v>
      </c>
      <c r="E3743" s="2" t="str">
        <f>"2170757514"</f>
        <v>2170757514</v>
      </c>
      <c r="F3743" s="2" t="s">
        <v>17</v>
      </c>
      <c r="G3743" s="2" t="s">
        <v>18</v>
      </c>
      <c r="H3743" s="2" t="s">
        <v>78</v>
      </c>
      <c r="I3743" s="2" t="s">
        <v>465</v>
      </c>
      <c r="J3743" s="2" t="s">
        <v>2368</v>
      </c>
      <c r="K3743" s="2" t="s">
        <v>2384</v>
      </c>
      <c r="L3743" s="3">
        <v>0.49305555555555558</v>
      </c>
      <c r="M3743" s="2" t="s">
        <v>2453</v>
      </c>
      <c r="N3743" s="2" t="s">
        <v>500</v>
      </c>
      <c r="O3743" s="2"/>
    </row>
    <row r="3744" spans="1:15" x14ac:dyDescent="0.25">
      <c r="A3744" s="2" t="s">
        <v>15</v>
      </c>
      <c r="B3744" s="2" t="str">
        <f>"FES1162772236"</f>
        <v>FES1162772236</v>
      </c>
      <c r="C3744" s="2" t="s">
        <v>2282</v>
      </c>
      <c r="D3744" s="2">
        <v>1</v>
      </c>
      <c r="E3744" s="2" t="str">
        <f>"2170757242"</f>
        <v>2170757242</v>
      </c>
      <c r="F3744" s="2" t="s">
        <v>17</v>
      </c>
      <c r="G3744" s="2" t="s">
        <v>18</v>
      </c>
      <c r="H3744" s="2" t="s">
        <v>18</v>
      </c>
      <c r="I3744" s="2" t="s">
        <v>50</v>
      </c>
      <c r="J3744" s="2" t="s">
        <v>2369</v>
      </c>
      <c r="K3744" s="2" t="s">
        <v>2356</v>
      </c>
      <c r="L3744" s="3">
        <v>0.39999999999999997</v>
      </c>
      <c r="M3744" s="2" t="s">
        <v>1191</v>
      </c>
      <c r="N3744" s="2" t="s">
        <v>500</v>
      </c>
      <c r="O3744" s="2"/>
    </row>
    <row r="3745" spans="1:15" x14ac:dyDescent="0.25">
      <c r="A3745" s="2" t="s">
        <v>15</v>
      </c>
      <c r="B3745" s="2" t="str">
        <f>"FES1162772242"</f>
        <v>FES1162772242</v>
      </c>
      <c r="C3745" s="2" t="s">
        <v>2282</v>
      </c>
      <c r="D3745" s="2">
        <v>1</v>
      </c>
      <c r="E3745" s="2" t="str">
        <f>"2170757335"</f>
        <v>2170757335</v>
      </c>
      <c r="F3745" s="2" t="s">
        <v>17</v>
      </c>
      <c r="G3745" s="2" t="s">
        <v>18</v>
      </c>
      <c r="H3745" s="2" t="s">
        <v>18</v>
      </c>
      <c r="I3745" s="2" t="s">
        <v>50</v>
      </c>
      <c r="J3745" s="2" t="s">
        <v>2361</v>
      </c>
      <c r="K3745" s="2" t="s">
        <v>2356</v>
      </c>
      <c r="L3745" s="3">
        <v>0.41666666666666669</v>
      </c>
      <c r="M3745" s="2" t="s">
        <v>557</v>
      </c>
      <c r="N3745" s="2" t="s">
        <v>500</v>
      </c>
      <c r="O3745" s="2"/>
    </row>
    <row r="3746" spans="1:15" x14ac:dyDescent="0.25">
      <c r="A3746" s="2" t="s">
        <v>15</v>
      </c>
      <c r="B3746" s="2" t="str">
        <f>"FES1162772308"</f>
        <v>FES1162772308</v>
      </c>
      <c r="C3746" s="2" t="s">
        <v>2282</v>
      </c>
      <c r="D3746" s="2">
        <v>1</v>
      </c>
      <c r="E3746" s="2" t="str">
        <f>"2170757381"</f>
        <v>2170757381</v>
      </c>
      <c r="F3746" s="2" t="s">
        <v>17</v>
      </c>
      <c r="G3746" s="2" t="s">
        <v>18</v>
      </c>
      <c r="H3746" s="2" t="s">
        <v>18</v>
      </c>
      <c r="I3746" s="2" t="s">
        <v>57</v>
      </c>
      <c r="J3746" s="2" t="s">
        <v>1405</v>
      </c>
      <c r="K3746" s="2" t="s">
        <v>2356</v>
      </c>
      <c r="L3746" s="3">
        <v>0.375</v>
      </c>
      <c r="M3746" s="2" t="s">
        <v>1484</v>
      </c>
      <c r="N3746" s="2" t="s">
        <v>500</v>
      </c>
      <c r="O3746" s="2"/>
    </row>
    <row r="3747" spans="1:15" x14ac:dyDescent="0.25">
      <c r="A3747" s="2" t="s">
        <v>15</v>
      </c>
      <c r="B3747" s="2" t="str">
        <f>"FES1162772284"</f>
        <v>FES1162772284</v>
      </c>
      <c r="C3747" s="2" t="s">
        <v>2282</v>
      </c>
      <c r="D3747" s="2">
        <v>1</v>
      </c>
      <c r="E3747" s="2" t="str">
        <f>"2170756821"</f>
        <v>2170756821</v>
      </c>
      <c r="F3747" s="2" t="s">
        <v>17</v>
      </c>
      <c r="G3747" s="2" t="s">
        <v>18</v>
      </c>
      <c r="H3747" s="2" t="s">
        <v>36</v>
      </c>
      <c r="I3747" s="2" t="s">
        <v>37</v>
      </c>
      <c r="J3747" s="2" t="s">
        <v>102</v>
      </c>
      <c r="K3747" s="2" t="s">
        <v>2356</v>
      </c>
      <c r="L3747" s="3">
        <v>0.4375</v>
      </c>
      <c r="M3747" s="2" t="s">
        <v>219</v>
      </c>
      <c r="N3747" s="2" t="s">
        <v>500</v>
      </c>
      <c r="O3747" s="2"/>
    </row>
    <row r="3748" spans="1:15" x14ac:dyDescent="0.25">
      <c r="A3748" s="2" t="s">
        <v>15</v>
      </c>
      <c r="B3748" s="2" t="str">
        <f>"FES1162772291"</f>
        <v>FES1162772291</v>
      </c>
      <c r="C3748" s="2" t="s">
        <v>2282</v>
      </c>
      <c r="D3748" s="2">
        <v>1</v>
      </c>
      <c r="E3748" s="2" t="str">
        <f>"2170756979"</f>
        <v>2170756979</v>
      </c>
      <c r="F3748" s="2" t="s">
        <v>17</v>
      </c>
      <c r="G3748" s="2" t="s">
        <v>18</v>
      </c>
      <c r="H3748" s="2" t="s">
        <v>88</v>
      </c>
      <c r="I3748" s="2" t="s">
        <v>612</v>
      </c>
      <c r="J3748" s="2" t="s">
        <v>1126</v>
      </c>
      <c r="K3748" s="2" t="s">
        <v>2356</v>
      </c>
      <c r="L3748" s="3">
        <v>0.64722222222222225</v>
      </c>
      <c r="M3748" s="2" t="s">
        <v>1250</v>
      </c>
      <c r="N3748" s="2" t="s">
        <v>500</v>
      </c>
      <c r="O3748" s="2"/>
    </row>
    <row r="3749" spans="1:15" x14ac:dyDescent="0.25">
      <c r="A3749" s="2" t="s">
        <v>15</v>
      </c>
      <c r="B3749" s="2" t="str">
        <f>"FES1162772208"</f>
        <v>FES1162772208</v>
      </c>
      <c r="C3749" s="2" t="s">
        <v>2282</v>
      </c>
      <c r="D3749" s="2">
        <v>1</v>
      </c>
      <c r="E3749" s="2" t="str">
        <f>"2170756967"</f>
        <v>2170756967</v>
      </c>
      <c r="F3749" s="2" t="s">
        <v>205</v>
      </c>
      <c r="G3749" s="2" t="s">
        <v>206</v>
      </c>
      <c r="H3749" s="2" t="s">
        <v>1116</v>
      </c>
      <c r="I3749" s="2" t="s">
        <v>109</v>
      </c>
      <c r="J3749" s="2" t="s">
        <v>339</v>
      </c>
      <c r="K3749" s="2" t="s">
        <v>2356</v>
      </c>
      <c r="L3749" s="3">
        <v>0.42083333333333334</v>
      </c>
      <c r="M3749" s="2" t="s">
        <v>2409</v>
      </c>
      <c r="N3749" s="2" t="s">
        <v>500</v>
      </c>
      <c r="O3749" s="2"/>
    </row>
    <row r="3750" spans="1:15" x14ac:dyDescent="0.25">
      <c r="A3750" s="2" t="s">
        <v>15</v>
      </c>
      <c r="B3750" s="2" t="str">
        <f>"FES1162772275"</f>
        <v>FES1162772275</v>
      </c>
      <c r="C3750" s="2" t="s">
        <v>2282</v>
      </c>
      <c r="D3750" s="2">
        <v>1</v>
      </c>
      <c r="E3750" s="2" t="str">
        <f>"2170755349"</f>
        <v>2170755349</v>
      </c>
      <c r="F3750" s="2" t="s">
        <v>17</v>
      </c>
      <c r="G3750" s="2" t="s">
        <v>18</v>
      </c>
      <c r="H3750" s="2" t="s">
        <v>18</v>
      </c>
      <c r="I3750" s="2" t="s">
        <v>63</v>
      </c>
      <c r="J3750" s="2" t="s">
        <v>93</v>
      </c>
      <c r="K3750" s="2" t="s">
        <v>2356</v>
      </c>
      <c r="L3750" s="3">
        <v>0.36319444444444443</v>
      </c>
      <c r="M3750" s="2" t="s">
        <v>471</v>
      </c>
      <c r="N3750" s="2" t="s">
        <v>500</v>
      </c>
      <c r="O3750" s="2"/>
    </row>
    <row r="3751" spans="1:15" x14ac:dyDescent="0.25">
      <c r="A3751" s="2" t="s">
        <v>15</v>
      </c>
      <c r="B3751" s="2" t="str">
        <f>"FES1162772315"</f>
        <v>FES1162772315</v>
      </c>
      <c r="C3751" s="2" t="s">
        <v>2282</v>
      </c>
      <c r="D3751" s="2">
        <v>1</v>
      </c>
      <c r="E3751" s="2" t="str">
        <f>"2170757405"</f>
        <v>2170757405</v>
      </c>
      <c r="F3751" s="2" t="s">
        <v>17</v>
      </c>
      <c r="G3751" s="2" t="s">
        <v>18</v>
      </c>
      <c r="H3751" s="2" t="s">
        <v>36</v>
      </c>
      <c r="I3751" s="2" t="s">
        <v>37</v>
      </c>
      <c r="J3751" s="2" t="s">
        <v>162</v>
      </c>
      <c r="K3751" s="2" t="s">
        <v>2356</v>
      </c>
      <c r="L3751" s="3">
        <v>0.36736111111111108</v>
      </c>
      <c r="M3751" s="2" t="s">
        <v>268</v>
      </c>
      <c r="N3751" s="2" t="s">
        <v>500</v>
      </c>
      <c r="O3751" s="2"/>
    </row>
    <row r="3752" spans="1:15" x14ac:dyDescent="0.25">
      <c r="A3752" s="2" t="s">
        <v>15</v>
      </c>
      <c r="B3752" s="2" t="str">
        <f>"FES1162772238"</f>
        <v>FES1162772238</v>
      </c>
      <c r="C3752" s="2" t="s">
        <v>2282</v>
      </c>
      <c r="D3752" s="2">
        <v>1</v>
      </c>
      <c r="E3752" s="2" t="str">
        <f>"2170757306"</f>
        <v>2170757306</v>
      </c>
      <c r="F3752" s="2" t="s">
        <v>17</v>
      </c>
      <c r="G3752" s="2" t="s">
        <v>18</v>
      </c>
      <c r="H3752" s="2" t="s">
        <v>36</v>
      </c>
      <c r="I3752" s="2" t="s">
        <v>37</v>
      </c>
      <c r="J3752" s="2" t="s">
        <v>1421</v>
      </c>
      <c r="K3752" s="2" t="s">
        <v>2356</v>
      </c>
      <c r="L3752" s="3">
        <v>0.39444444444444443</v>
      </c>
      <c r="M3752" s="2" t="s">
        <v>2170</v>
      </c>
      <c r="N3752" s="2" t="s">
        <v>500</v>
      </c>
      <c r="O3752" s="2"/>
    </row>
    <row r="3753" spans="1:15" x14ac:dyDescent="0.25">
      <c r="A3753" s="2" t="s">
        <v>15</v>
      </c>
      <c r="B3753" s="2" t="str">
        <f>"FES1162772327"</f>
        <v>FES1162772327</v>
      </c>
      <c r="C3753" s="2" t="s">
        <v>2282</v>
      </c>
      <c r="D3753" s="2">
        <v>1</v>
      </c>
      <c r="E3753" s="2" t="str">
        <f>"2170757472"</f>
        <v>2170757472</v>
      </c>
      <c r="F3753" s="2" t="s">
        <v>17</v>
      </c>
      <c r="G3753" s="2" t="s">
        <v>18</v>
      </c>
      <c r="H3753" s="2" t="s">
        <v>36</v>
      </c>
      <c r="I3753" s="2" t="s">
        <v>67</v>
      </c>
      <c r="J3753" s="2" t="s">
        <v>146</v>
      </c>
      <c r="K3753" s="2" t="s">
        <v>2356</v>
      </c>
      <c r="L3753" s="3">
        <v>0.39027777777777778</v>
      </c>
      <c r="M3753" s="2" t="s">
        <v>244</v>
      </c>
      <c r="N3753" s="2" t="s">
        <v>500</v>
      </c>
      <c r="O3753" s="2"/>
    </row>
    <row r="3754" spans="1:15" x14ac:dyDescent="0.25">
      <c r="A3754" s="2" t="s">
        <v>15</v>
      </c>
      <c r="B3754" s="2" t="str">
        <f>"FES1162772375"</f>
        <v>FES1162772375</v>
      </c>
      <c r="C3754" s="2" t="s">
        <v>2282</v>
      </c>
      <c r="D3754" s="2">
        <v>1</v>
      </c>
      <c r="E3754" s="2" t="str">
        <f>"2170758238"</f>
        <v>2170758238</v>
      </c>
      <c r="F3754" s="2" t="s">
        <v>17</v>
      </c>
      <c r="G3754" s="2" t="s">
        <v>18</v>
      </c>
      <c r="H3754" s="2" t="s">
        <v>33</v>
      </c>
      <c r="I3754" s="2" t="s">
        <v>34</v>
      </c>
      <c r="J3754" s="2" t="s">
        <v>868</v>
      </c>
      <c r="K3754" s="2" t="s">
        <v>2356</v>
      </c>
      <c r="L3754" s="3">
        <v>0.43333333333333335</v>
      </c>
      <c r="M3754" s="2" t="s">
        <v>2390</v>
      </c>
      <c r="N3754" s="2" t="s">
        <v>500</v>
      </c>
      <c r="O3754" s="2"/>
    </row>
    <row r="3755" spans="1:15" x14ac:dyDescent="0.25">
      <c r="A3755" s="2" t="s">
        <v>15</v>
      </c>
      <c r="B3755" s="2" t="str">
        <f>"FES1162772186"</f>
        <v>FES1162772186</v>
      </c>
      <c r="C3755" s="2" t="s">
        <v>2282</v>
      </c>
      <c r="D3755" s="2">
        <v>1</v>
      </c>
      <c r="E3755" s="2" t="str">
        <f>"2170755631"</f>
        <v>2170755631</v>
      </c>
      <c r="F3755" s="2" t="s">
        <v>17</v>
      </c>
      <c r="G3755" s="2" t="s">
        <v>18</v>
      </c>
      <c r="H3755" s="2" t="s">
        <v>36</v>
      </c>
      <c r="I3755" s="2" t="s">
        <v>37</v>
      </c>
      <c r="J3755" s="2" t="s">
        <v>378</v>
      </c>
      <c r="K3755" s="2" t="s">
        <v>2356</v>
      </c>
      <c r="L3755" s="3">
        <v>0.42708333333333331</v>
      </c>
      <c r="M3755" s="2" t="s">
        <v>379</v>
      </c>
      <c r="N3755" s="2" t="s">
        <v>500</v>
      </c>
      <c r="O3755" s="2"/>
    </row>
    <row r="3756" spans="1:15" x14ac:dyDescent="0.25">
      <c r="A3756" s="2" t="s">
        <v>15</v>
      </c>
      <c r="B3756" s="2" t="str">
        <f>"FES1162772226"</f>
        <v>FES1162772226</v>
      </c>
      <c r="C3756" s="2" t="s">
        <v>2282</v>
      </c>
      <c r="D3756" s="2">
        <v>1</v>
      </c>
      <c r="E3756" s="2" t="str">
        <f>"2170757130"</f>
        <v>2170757130</v>
      </c>
      <c r="F3756" s="2" t="s">
        <v>17</v>
      </c>
      <c r="G3756" s="2" t="s">
        <v>18</v>
      </c>
      <c r="H3756" s="2" t="s">
        <v>36</v>
      </c>
      <c r="I3756" s="2" t="s">
        <v>37</v>
      </c>
      <c r="J3756" s="2" t="s">
        <v>55</v>
      </c>
      <c r="K3756" s="2" t="s">
        <v>2356</v>
      </c>
      <c r="L3756" s="3">
        <v>0.3576388888888889</v>
      </c>
      <c r="M3756" s="2" t="s">
        <v>305</v>
      </c>
      <c r="N3756" s="2" t="s">
        <v>500</v>
      </c>
      <c r="O3756" s="2"/>
    </row>
    <row r="3757" spans="1:15" x14ac:dyDescent="0.25">
      <c r="A3757" s="2" t="s">
        <v>15</v>
      </c>
      <c r="B3757" s="2" t="str">
        <f>"FES1162772361"</f>
        <v>FES1162772361</v>
      </c>
      <c r="C3757" s="2" t="s">
        <v>2282</v>
      </c>
      <c r="D3757" s="2">
        <v>1</v>
      </c>
      <c r="E3757" s="2" t="str">
        <f>"2170758458"</f>
        <v>2170758458</v>
      </c>
      <c r="F3757" s="2" t="s">
        <v>17</v>
      </c>
      <c r="G3757" s="2" t="s">
        <v>18</v>
      </c>
      <c r="H3757" s="2" t="s">
        <v>33</v>
      </c>
      <c r="I3757" s="2" t="s">
        <v>34</v>
      </c>
      <c r="J3757" s="2" t="s">
        <v>317</v>
      </c>
      <c r="K3757" s="2" t="s">
        <v>2356</v>
      </c>
      <c r="L3757" s="3">
        <v>0.43333333333333335</v>
      </c>
      <c r="M3757" s="2" t="s">
        <v>716</v>
      </c>
      <c r="N3757" s="2" t="s">
        <v>500</v>
      </c>
      <c r="O3757" s="2"/>
    </row>
    <row r="3758" spans="1:15" x14ac:dyDescent="0.25">
      <c r="A3758" s="2" t="s">
        <v>15</v>
      </c>
      <c r="B3758" s="2" t="str">
        <f>"FES1162772352"</f>
        <v>FES1162772352</v>
      </c>
      <c r="C3758" s="2" t="s">
        <v>2282</v>
      </c>
      <c r="D3758" s="2">
        <v>1</v>
      </c>
      <c r="E3758" s="2" t="str">
        <f>"2170759209"</f>
        <v>2170759209</v>
      </c>
      <c r="F3758" s="2" t="s">
        <v>17</v>
      </c>
      <c r="G3758" s="2" t="s">
        <v>18</v>
      </c>
      <c r="H3758" s="2" t="s">
        <v>36</v>
      </c>
      <c r="I3758" s="2" t="s">
        <v>37</v>
      </c>
      <c r="J3758" s="2" t="s">
        <v>403</v>
      </c>
      <c r="K3758" s="2" t="s">
        <v>2356</v>
      </c>
      <c r="L3758" s="3">
        <v>0.59375</v>
      </c>
      <c r="M3758" s="2" t="s">
        <v>1262</v>
      </c>
      <c r="N3758" s="2" t="s">
        <v>500</v>
      </c>
      <c r="O3758" s="2"/>
    </row>
    <row r="3759" spans="1:15" x14ac:dyDescent="0.25">
      <c r="A3759" s="2" t="s">
        <v>15</v>
      </c>
      <c r="B3759" s="2" t="str">
        <f>"FES1162772376"</f>
        <v>FES1162772376</v>
      </c>
      <c r="C3759" s="2" t="s">
        <v>2282</v>
      </c>
      <c r="D3759" s="2">
        <v>1</v>
      </c>
      <c r="E3759" s="2" t="str">
        <f>"2170752349"</f>
        <v>2170752349</v>
      </c>
      <c r="F3759" s="2" t="s">
        <v>480</v>
      </c>
      <c r="G3759" s="2" t="s">
        <v>206</v>
      </c>
      <c r="H3759" s="2" t="s">
        <v>206</v>
      </c>
      <c r="I3759" s="2" t="s">
        <v>65</v>
      </c>
      <c r="J3759" s="2" t="s">
        <v>2370</v>
      </c>
      <c r="K3759" s="2" t="s">
        <v>2356</v>
      </c>
      <c r="L3759" s="3">
        <v>0.4375</v>
      </c>
      <c r="M3759" s="2" t="s">
        <v>2410</v>
      </c>
      <c r="N3759" s="2" t="s">
        <v>500</v>
      </c>
      <c r="O3759" s="2"/>
    </row>
    <row r="3760" spans="1:15" x14ac:dyDescent="0.25">
      <c r="A3760" s="2" t="s">
        <v>15</v>
      </c>
      <c r="B3760" s="2" t="str">
        <f>"FES1162772215"</f>
        <v>FES1162772215</v>
      </c>
      <c r="C3760" s="2" t="s">
        <v>2282</v>
      </c>
      <c r="D3760" s="2">
        <v>1</v>
      </c>
      <c r="E3760" s="2" t="str">
        <f>"2170757016"</f>
        <v>2170757016</v>
      </c>
      <c r="F3760" s="2" t="s">
        <v>17</v>
      </c>
      <c r="G3760" s="2" t="s">
        <v>18</v>
      </c>
      <c r="H3760" s="2" t="s">
        <v>36</v>
      </c>
      <c r="I3760" s="2" t="s">
        <v>134</v>
      </c>
      <c r="J3760" s="2" t="s">
        <v>283</v>
      </c>
      <c r="K3760" s="2" t="s">
        <v>2356</v>
      </c>
      <c r="L3760" s="3">
        <v>0.59722222222222221</v>
      </c>
      <c r="M3760" s="2" t="s">
        <v>2411</v>
      </c>
      <c r="N3760" s="2" t="s">
        <v>500</v>
      </c>
      <c r="O3760" s="2"/>
    </row>
    <row r="3761" spans="1:15" x14ac:dyDescent="0.25">
      <c r="A3761" s="2" t="s">
        <v>15</v>
      </c>
      <c r="B3761" s="2" t="str">
        <f>"FES1162772317"</f>
        <v>FES1162772317</v>
      </c>
      <c r="C3761" s="2" t="s">
        <v>2282</v>
      </c>
      <c r="D3761" s="2">
        <v>1</v>
      </c>
      <c r="E3761" s="2" t="str">
        <f>"2170757420"</f>
        <v>2170757420</v>
      </c>
      <c r="F3761" s="2" t="s">
        <v>17</v>
      </c>
      <c r="G3761" s="2" t="s">
        <v>18</v>
      </c>
      <c r="H3761" s="2" t="s">
        <v>18</v>
      </c>
      <c r="I3761" s="2" t="s">
        <v>63</v>
      </c>
      <c r="J3761" s="2" t="s">
        <v>610</v>
      </c>
      <c r="K3761" s="2" t="s">
        <v>2356</v>
      </c>
      <c r="L3761" s="3">
        <v>0.42291666666666666</v>
      </c>
      <c r="M3761" s="2" t="s">
        <v>2412</v>
      </c>
      <c r="N3761" s="2" t="s">
        <v>500</v>
      </c>
      <c r="O3761" s="2"/>
    </row>
    <row r="3762" spans="1:15" x14ac:dyDescent="0.25">
      <c r="A3762" s="2" t="s">
        <v>15</v>
      </c>
      <c r="B3762" s="2" t="str">
        <f>"FES1162772309"</f>
        <v>FES1162772309</v>
      </c>
      <c r="C3762" s="2" t="s">
        <v>2282</v>
      </c>
      <c r="D3762" s="2">
        <v>1</v>
      </c>
      <c r="E3762" s="2" t="str">
        <f>"2170757383"</f>
        <v>2170757383</v>
      </c>
      <c r="F3762" s="2" t="s">
        <v>17</v>
      </c>
      <c r="G3762" s="2" t="s">
        <v>18</v>
      </c>
      <c r="H3762" s="2" t="s">
        <v>18</v>
      </c>
      <c r="I3762" s="2" t="s">
        <v>52</v>
      </c>
      <c r="J3762" s="2" t="s">
        <v>1403</v>
      </c>
      <c r="K3762" s="2" t="s">
        <v>2356</v>
      </c>
      <c r="L3762" s="3">
        <v>0.46527777777777773</v>
      </c>
      <c r="M3762" s="2" t="s">
        <v>2267</v>
      </c>
      <c r="N3762" s="2" t="s">
        <v>500</v>
      </c>
      <c r="O3762" s="2"/>
    </row>
    <row r="3763" spans="1:15" x14ac:dyDescent="0.25">
      <c r="A3763" s="2" t="s">
        <v>15</v>
      </c>
      <c r="B3763" s="2" t="str">
        <f>"FES1162772431"</f>
        <v>FES1162772431</v>
      </c>
      <c r="C3763" s="2" t="s">
        <v>2282</v>
      </c>
      <c r="D3763" s="2">
        <v>1</v>
      </c>
      <c r="E3763" s="2" t="str">
        <f>"2170759318"</f>
        <v>2170759318</v>
      </c>
      <c r="F3763" s="2" t="s">
        <v>205</v>
      </c>
      <c r="G3763" s="2" t="s">
        <v>206</v>
      </c>
      <c r="H3763" s="2" t="s">
        <v>1116</v>
      </c>
      <c r="I3763" s="2" t="s">
        <v>109</v>
      </c>
      <c r="J3763" s="2" t="s">
        <v>2371</v>
      </c>
      <c r="K3763" s="2" t="s">
        <v>2356</v>
      </c>
      <c r="L3763" s="3">
        <v>0.5</v>
      </c>
      <c r="M3763" s="2" t="s">
        <v>2413</v>
      </c>
      <c r="N3763" s="2" t="s">
        <v>500</v>
      </c>
      <c r="O3763" s="2"/>
    </row>
    <row r="3764" spans="1:15" x14ac:dyDescent="0.25">
      <c r="A3764" s="2" t="s">
        <v>15</v>
      </c>
      <c r="B3764" s="2" t="str">
        <f>"FES1162772383"</f>
        <v>FES1162772383</v>
      </c>
      <c r="C3764" s="2" t="s">
        <v>2282</v>
      </c>
      <c r="D3764" s="2">
        <v>1</v>
      </c>
      <c r="E3764" s="2" t="str">
        <f>"2170758542"</f>
        <v>2170758542</v>
      </c>
      <c r="F3764" s="2" t="s">
        <v>17</v>
      </c>
      <c r="G3764" s="2" t="s">
        <v>18</v>
      </c>
      <c r="H3764" s="2" t="s">
        <v>25</v>
      </c>
      <c r="I3764" s="2" t="s">
        <v>26</v>
      </c>
      <c r="J3764" s="2" t="s">
        <v>1225</v>
      </c>
      <c r="K3764" s="2" t="s">
        <v>2356</v>
      </c>
      <c r="L3764" s="3">
        <v>0.4145833333333333</v>
      </c>
      <c r="M3764" s="2" t="s">
        <v>2414</v>
      </c>
      <c r="N3764" s="2" t="s">
        <v>500</v>
      </c>
      <c r="O3764" s="2"/>
    </row>
    <row r="3765" spans="1:15" x14ac:dyDescent="0.25">
      <c r="A3765" s="2" t="s">
        <v>15</v>
      </c>
      <c r="B3765" s="2" t="str">
        <f>"FES1162772323"</f>
        <v>FES1162772323</v>
      </c>
      <c r="C3765" s="2" t="s">
        <v>2282</v>
      </c>
      <c r="D3765" s="2">
        <v>1</v>
      </c>
      <c r="E3765" s="2" t="str">
        <f>"2170757447"</f>
        <v>2170757447</v>
      </c>
      <c r="F3765" s="2" t="s">
        <v>17</v>
      </c>
      <c r="G3765" s="2" t="s">
        <v>18</v>
      </c>
      <c r="H3765" s="2" t="s">
        <v>88</v>
      </c>
      <c r="I3765" s="2" t="s">
        <v>89</v>
      </c>
      <c r="J3765" s="2" t="s">
        <v>1311</v>
      </c>
      <c r="K3765" s="2" t="s">
        <v>2356</v>
      </c>
      <c r="L3765" s="3">
        <v>0.58611111111111114</v>
      </c>
      <c r="M3765" s="2" t="s">
        <v>2415</v>
      </c>
      <c r="N3765" s="2" t="s">
        <v>500</v>
      </c>
      <c r="O3765" s="2"/>
    </row>
    <row r="3766" spans="1:15" x14ac:dyDescent="0.25">
      <c r="A3766" s="2" t="s">
        <v>15</v>
      </c>
      <c r="B3766" s="2" t="str">
        <f>"FES1162772198"</f>
        <v>FES1162772198</v>
      </c>
      <c r="C3766" s="2" t="s">
        <v>2282</v>
      </c>
      <c r="D3766" s="2">
        <v>1</v>
      </c>
      <c r="E3766" s="2" t="str">
        <f>"2170756885"</f>
        <v>2170756885</v>
      </c>
      <c r="F3766" s="2" t="s">
        <v>17</v>
      </c>
      <c r="G3766" s="2" t="s">
        <v>18</v>
      </c>
      <c r="H3766" s="2" t="s">
        <v>18</v>
      </c>
      <c r="I3766" s="2" t="s">
        <v>63</v>
      </c>
      <c r="J3766" s="2" t="s">
        <v>93</v>
      </c>
      <c r="K3766" s="2" t="s">
        <v>2356</v>
      </c>
      <c r="L3766" s="3">
        <v>0.40347222222222223</v>
      </c>
      <c r="M3766" s="2" t="s">
        <v>300</v>
      </c>
      <c r="N3766" s="2" t="s">
        <v>500</v>
      </c>
      <c r="O3766" s="2"/>
    </row>
    <row r="3767" spans="1:15" x14ac:dyDescent="0.25">
      <c r="A3767" s="2" t="s">
        <v>15</v>
      </c>
      <c r="B3767" s="2" t="str">
        <f>"FES1162772235"</f>
        <v>FES1162772235</v>
      </c>
      <c r="C3767" s="2" t="s">
        <v>2282</v>
      </c>
      <c r="D3767" s="2">
        <v>1</v>
      </c>
      <c r="E3767" s="2" t="str">
        <f>"2170757232"</f>
        <v>2170757232</v>
      </c>
      <c r="F3767" s="2" t="s">
        <v>17</v>
      </c>
      <c r="G3767" s="2" t="s">
        <v>18</v>
      </c>
      <c r="H3767" s="2" t="s">
        <v>36</v>
      </c>
      <c r="I3767" s="2" t="s">
        <v>67</v>
      </c>
      <c r="J3767" s="2" t="s">
        <v>780</v>
      </c>
      <c r="K3767" s="2" t="s">
        <v>2356</v>
      </c>
      <c r="L3767" s="3">
        <v>0.4284722222222222</v>
      </c>
      <c r="M3767" s="2" t="s">
        <v>2416</v>
      </c>
      <c r="N3767" s="2" t="s">
        <v>500</v>
      </c>
      <c r="O3767" s="2"/>
    </row>
    <row r="3768" spans="1:15" x14ac:dyDescent="0.25">
      <c r="A3768" s="2" t="s">
        <v>15</v>
      </c>
      <c r="B3768" s="2" t="str">
        <f>"FES1162772325"</f>
        <v>FES1162772325</v>
      </c>
      <c r="C3768" s="2" t="s">
        <v>2282</v>
      </c>
      <c r="D3768" s="2">
        <v>1</v>
      </c>
      <c r="E3768" s="2" t="str">
        <f>"2170757460"</f>
        <v>2170757460</v>
      </c>
      <c r="F3768" s="2" t="s">
        <v>17</v>
      </c>
      <c r="G3768" s="2" t="s">
        <v>18</v>
      </c>
      <c r="H3768" s="2" t="s">
        <v>36</v>
      </c>
      <c r="I3768" s="2" t="s">
        <v>67</v>
      </c>
      <c r="J3768" s="2" t="s">
        <v>68</v>
      </c>
      <c r="K3768" s="2" t="s">
        <v>2356</v>
      </c>
      <c r="L3768" s="3">
        <v>0.40069444444444446</v>
      </c>
      <c r="M3768" s="2" t="s">
        <v>306</v>
      </c>
      <c r="N3768" s="2" t="s">
        <v>500</v>
      </c>
      <c r="O3768" s="2"/>
    </row>
    <row r="3769" spans="1:15" x14ac:dyDescent="0.25">
      <c r="A3769" s="2" t="s">
        <v>15</v>
      </c>
      <c r="B3769" s="2" t="str">
        <f>"FES1162772412"</f>
        <v>FES1162772412</v>
      </c>
      <c r="C3769" s="2" t="s">
        <v>2282</v>
      </c>
      <c r="D3769" s="2">
        <v>1</v>
      </c>
      <c r="E3769" s="2" t="str">
        <f>"2170759030"</f>
        <v>2170759030</v>
      </c>
      <c r="F3769" s="2" t="s">
        <v>17</v>
      </c>
      <c r="G3769" s="2" t="s">
        <v>18</v>
      </c>
      <c r="H3769" s="2" t="s">
        <v>25</v>
      </c>
      <c r="I3769" s="2" t="s">
        <v>26</v>
      </c>
      <c r="J3769" s="2" t="s">
        <v>762</v>
      </c>
      <c r="K3769" s="2" t="s">
        <v>2356</v>
      </c>
      <c r="L3769" s="3">
        <v>0.4284722222222222</v>
      </c>
      <c r="M3769" s="2" t="s">
        <v>819</v>
      </c>
      <c r="N3769" s="2" t="s">
        <v>500</v>
      </c>
      <c r="O3769" s="2"/>
    </row>
    <row r="3770" spans="1:15" x14ac:dyDescent="0.25">
      <c r="A3770" s="2" t="s">
        <v>15</v>
      </c>
      <c r="B3770" s="2" t="str">
        <f>"FES1162772319"</f>
        <v>FES1162772319</v>
      </c>
      <c r="C3770" s="2" t="s">
        <v>2282</v>
      </c>
      <c r="D3770" s="2">
        <v>1</v>
      </c>
      <c r="E3770" s="2" t="str">
        <f>"2170757428"</f>
        <v>2170757428</v>
      </c>
      <c r="F3770" s="2" t="s">
        <v>17</v>
      </c>
      <c r="G3770" s="2" t="s">
        <v>18</v>
      </c>
      <c r="H3770" s="2" t="s">
        <v>33</v>
      </c>
      <c r="I3770" s="2" t="s">
        <v>34</v>
      </c>
      <c r="J3770" s="2" t="s">
        <v>868</v>
      </c>
      <c r="K3770" s="2" t="s">
        <v>2356</v>
      </c>
      <c r="L3770" s="3">
        <v>0.43333333333333335</v>
      </c>
      <c r="M3770" s="2" t="s">
        <v>2390</v>
      </c>
      <c r="N3770" s="2" t="s">
        <v>500</v>
      </c>
      <c r="O3770" s="2"/>
    </row>
    <row r="3771" spans="1:15" x14ac:dyDescent="0.25">
      <c r="A3771" s="2" t="s">
        <v>15</v>
      </c>
      <c r="B3771" s="2" t="str">
        <f>"FES1162772312"</f>
        <v>FES1162772312</v>
      </c>
      <c r="C3771" s="2" t="s">
        <v>2282</v>
      </c>
      <c r="D3771" s="2">
        <v>1</v>
      </c>
      <c r="E3771" s="2" t="str">
        <f>"2170757391"</f>
        <v>2170757391</v>
      </c>
      <c r="F3771" s="2" t="s">
        <v>17</v>
      </c>
      <c r="G3771" s="2" t="s">
        <v>18</v>
      </c>
      <c r="H3771" s="2" t="s">
        <v>36</v>
      </c>
      <c r="I3771" s="2" t="s">
        <v>37</v>
      </c>
      <c r="J3771" s="2" t="s">
        <v>54</v>
      </c>
      <c r="K3771" s="2" t="s">
        <v>2356</v>
      </c>
      <c r="L3771" s="3">
        <v>0.45833333333333331</v>
      </c>
      <c r="M3771" s="2" t="s">
        <v>1511</v>
      </c>
      <c r="N3771" s="2" t="s">
        <v>500</v>
      </c>
      <c r="O3771" s="2"/>
    </row>
    <row r="3772" spans="1:15" x14ac:dyDescent="0.25">
      <c r="A3772" s="2" t="s">
        <v>15</v>
      </c>
      <c r="B3772" s="2" t="str">
        <f>"FES1162772395"</f>
        <v>FES1162772395</v>
      </c>
      <c r="C3772" s="2" t="s">
        <v>2282</v>
      </c>
      <c r="D3772" s="2">
        <v>1</v>
      </c>
      <c r="E3772" s="2" t="str">
        <f>"2170759264"</f>
        <v>2170759264</v>
      </c>
      <c r="F3772" s="2" t="s">
        <v>17</v>
      </c>
      <c r="G3772" s="2" t="s">
        <v>18</v>
      </c>
      <c r="H3772" s="2" t="s">
        <v>25</v>
      </c>
      <c r="I3772" s="2" t="s">
        <v>26</v>
      </c>
      <c r="J3772" s="2" t="s">
        <v>75</v>
      </c>
      <c r="K3772" s="2" t="s">
        <v>2356</v>
      </c>
      <c r="L3772" s="3">
        <v>0.38680555555555557</v>
      </c>
      <c r="M3772" s="2" t="s">
        <v>1329</v>
      </c>
      <c r="N3772" s="2" t="s">
        <v>500</v>
      </c>
      <c r="O3772" s="2"/>
    </row>
    <row r="3773" spans="1:15" x14ac:dyDescent="0.25">
      <c r="A3773" s="2" t="s">
        <v>15</v>
      </c>
      <c r="B3773" s="2" t="str">
        <f>"FES1162772420"</f>
        <v>FES1162772420</v>
      </c>
      <c r="C3773" s="2" t="s">
        <v>2282</v>
      </c>
      <c r="D3773" s="2">
        <v>1</v>
      </c>
      <c r="E3773" s="2" t="str">
        <f>"2170759297"</f>
        <v>2170759297</v>
      </c>
      <c r="F3773" s="2" t="s">
        <v>17</v>
      </c>
      <c r="G3773" s="2" t="s">
        <v>18</v>
      </c>
      <c r="H3773" s="2" t="s">
        <v>18</v>
      </c>
      <c r="I3773" s="2" t="s">
        <v>57</v>
      </c>
      <c r="J3773" s="2" t="s">
        <v>903</v>
      </c>
      <c r="K3773" s="2" t="s">
        <v>2356</v>
      </c>
      <c r="L3773" s="3">
        <v>0.375</v>
      </c>
      <c r="M3773" s="2" t="s">
        <v>188</v>
      </c>
      <c r="N3773" s="2" t="s">
        <v>500</v>
      </c>
      <c r="O3773" s="2"/>
    </row>
    <row r="3774" spans="1:15" x14ac:dyDescent="0.25">
      <c r="A3774" s="2" t="s">
        <v>15</v>
      </c>
      <c r="B3774" s="2" t="str">
        <f>"FES1162772410"</f>
        <v>FES1162772410</v>
      </c>
      <c r="C3774" s="2" t="s">
        <v>2282</v>
      </c>
      <c r="D3774" s="2">
        <v>1</v>
      </c>
      <c r="E3774" s="2" t="str">
        <f>"2170759281"</f>
        <v>2170759281</v>
      </c>
      <c r="F3774" s="2" t="s">
        <v>17</v>
      </c>
      <c r="G3774" s="2" t="s">
        <v>18</v>
      </c>
      <c r="H3774" s="2" t="s">
        <v>18</v>
      </c>
      <c r="I3774" s="2" t="s">
        <v>57</v>
      </c>
      <c r="J3774" s="2" t="s">
        <v>903</v>
      </c>
      <c r="K3774" s="2" t="s">
        <v>2356</v>
      </c>
      <c r="L3774" s="3">
        <v>0.375</v>
      </c>
      <c r="M3774" s="2" t="s">
        <v>188</v>
      </c>
      <c r="N3774" s="2" t="s">
        <v>500</v>
      </c>
      <c r="O3774" s="2"/>
    </row>
    <row r="3775" spans="1:15" x14ac:dyDescent="0.25">
      <c r="A3775" s="2" t="s">
        <v>15</v>
      </c>
      <c r="B3775" s="2" t="str">
        <f>"FES1162772416"</f>
        <v>FES1162772416</v>
      </c>
      <c r="C3775" s="2" t="s">
        <v>2282</v>
      </c>
      <c r="D3775" s="2">
        <v>1</v>
      </c>
      <c r="E3775" s="2" t="str">
        <f>"2170759290"</f>
        <v>2170759290</v>
      </c>
      <c r="F3775" s="2" t="s">
        <v>17</v>
      </c>
      <c r="G3775" s="2" t="s">
        <v>18</v>
      </c>
      <c r="H3775" s="2" t="s">
        <v>88</v>
      </c>
      <c r="I3775" s="2" t="s">
        <v>109</v>
      </c>
      <c r="J3775" s="2" t="s">
        <v>1424</v>
      </c>
      <c r="K3775" s="2" t="s">
        <v>2356</v>
      </c>
      <c r="L3775" s="3">
        <v>0.39374999999999999</v>
      </c>
      <c r="M3775" s="2" t="s">
        <v>1479</v>
      </c>
      <c r="N3775" s="2" t="s">
        <v>500</v>
      </c>
      <c r="O3775" s="2"/>
    </row>
    <row r="3776" spans="1:15" x14ac:dyDescent="0.25">
      <c r="A3776" s="2" t="s">
        <v>15</v>
      </c>
      <c r="B3776" s="2" t="str">
        <f>"FES1162772358"</f>
        <v>FES1162772358</v>
      </c>
      <c r="C3776" s="2" t="s">
        <v>2282</v>
      </c>
      <c r="D3776" s="2">
        <v>1</v>
      </c>
      <c r="E3776" s="2" t="str">
        <f>"2170759215"</f>
        <v>2170759215</v>
      </c>
      <c r="F3776" s="2" t="s">
        <v>17</v>
      </c>
      <c r="G3776" s="2" t="s">
        <v>18</v>
      </c>
      <c r="H3776" s="2" t="s">
        <v>36</v>
      </c>
      <c r="I3776" s="2" t="s">
        <v>134</v>
      </c>
      <c r="J3776" s="2" t="s">
        <v>1228</v>
      </c>
      <c r="K3776" s="2" t="s">
        <v>2356</v>
      </c>
      <c r="L3776" s="3">
        <v>0.6020833333333333</v>
      </c>
      <c r="M3776" s="2" t="s">
        <v>2417</v>
      </c>
      <c r="N3776" s="2" t="s">
        <v>500</v>
      </c>
      <c r="O3776" s="2"/>
    </row>
    <row r="3777" spans="1:15" x14ac:dyDescent="0.25">
      <c r="A3777" s="2" t="s">
        <v>15</v>
      </c>
      <c r="B3777" s="2" t="str">
        <f>"FES1162772231"</f>
        <v>FES1162772231</v>
      </c>
      <c r="C3777" s="2" t="s">
        <v>2282</v>
      </c>
      <c r="D3777" s="2">
        <v>1</v>
      </c>
      <c r="E3777" s="2" t="str">
        <f>"2170757176"</f>
        <v>2170757176</v>
      </c>
      <c r="F3777" s="2" t="s">
        <v>17</v>
      </c>
      <c r="G3777" s="2" t="s">
        <v>18</v>
      </c>
      <c r="H3777" s="2" t="s">
        <v>484</v>
      </c>
      <c r="I3777" s="2" t="s">
        <v>485</v>
      </c>
      <c r="J3777" s="2" t="s">
        <v>1416</v>
      </c>
      <c r="K3777" s="2" t="s">
        <v>2356</v>
      </c>
      <c r="L3777" s="3">
        <v>0.41666666666666669</v>
      </c>
      <c r="M3777" s="2" t="s">
        <v>220</v>
      </c>
      <c r="N3777" s="2" t="s">
        <v>500</v>
      </c>
      <c r="O3777" s="2"/>
    </row>
    <row r="3778" spans="1:15" x14ac:dyDescent="0.25">
      <c r="A3778" s="2" t="s">
        <v>15</v>
      </c>
      <c r="B3778" s="2" t="str">
        <f>"FES1162772394"</f>
        <v>FES1162772394</v>
      </c>
      <c r="C3778" s="2" t="s">
        <v>2282</v>
      </c>
      <c r="D3778" s="2">
        <v>1</v>
      </c>
      <c r="E3778" s="2" t="str">
        <f>"2170759261"</f>
        <v>2170759261</v>
      </c>
      <c r="F3778" s="2" t="s">
        <v>17</v>
      </c>
      <c r="G3778" s="2" t="s">
        <v>18</v>
      </c>
      <c r="H3778" s="2" t="s">
        <v>25</v>
      </c>
      <c r="I3778" s="2" t="s">
        <v>26</v>
      </c>
      <c r="J3778" s="2" t="s">
        <v>75</v>
      </c>
      <c r="K3778" s="2" t="s">
        <v>2356</v>
      </c>
      <c r="L3778" s="3">
        <v>0.38611111111111113</v>
      </c>
      <c r="M3778" s="2" t="s">
        <v>1329</v>
      </c>
      <c r="N3778" s="2" t="s">
        <v>500</v>
      </c>
      <c r="O3778" s="2"/>
    </row>
    <row r="3779" spans="1:15" x14ac:dyDescent="0.25">
      <c r="A3779" s="2" t="s">
        <v>15</v>
      </c>
      <c r="B3779" s="2" t="str">
        <f>"FES1162772397"</f>
        <v>FES1162772397</v>
      </c>
      <c r="C3779" s="2" t="s">
        <v>2282</v>
      </c>
      <c r="D3779" s="2">
        <v>1</v>
      </c>
      <c r="E3779" s="2" t="str">
        <f>"2170759268"</f>
        <v>2170759268</v>
      </c>
      <c r="F3779" s="2" t="s">
        <v>17</v>
      </c>
      <c r="G3779" s="2" t="s">
        <v>18</v>
      </c>
      <c r="H3779" s="2" t="s">
        <v>25</v>
      </c>
      <c r="I3779" s="2" t="s">
        <v>39</v>
      </c>
      <c r="J3779" s="2" t="s">
        <v>40</v>
      </c>
      <c r="K3779" s="2" t="s">
        <v>2356</v>
      </c>
      <c r="L3779" s="3">
        <v>0.41666666666666669</v>
      </c>
      <c r="M3779" s="2" t="s">
        <v>326</v>
      </c>
      <c r="N3779" s="2" t="s">
        <v>500</v>
      </c>
      <c r="O3779" s="2"/>
    </row>
    <row r="3780" spans="1:15" x14ac:dyDescent="0.25">
      <c r="A3780" s="2" t="s">
        <v>15</v>
      </c>
      <c r="B3780" s="2" t="str">
        <f>"FES1162772401"</f>
        <v>FES1162772401</v>
      </c>
      <c r="C3780" s="2" t="s">
        <v>2282</v>
      </c>
      <c r="D3780" s="2">
        <v>1</v>
      </c>
      <c r="E3780" s="2" t="str">
        <f>"2170759273"</f>
        <v>2170759273</v>
      </c>
      <c r="F3780" s="2" t="s">
        <v>17</v>
      </c>
      <c r="G3780" s="2" t="s">
        <v>18</v>
      </c>
      <c r="H3780" s="2" t="s">
        <v>19</v>
      </c>
      <c r="I3780" s="2" t="s">
        <v>114</v>
      </c>
      <c r="J3780" s="2" t="s">
        <v>66</v>
      </c>
      <c r="K3780" s="2" t="s">
        <v>2356</v>
      </c>
      <c r="L3780" s="3">
        <v>0.60486111111111118</v>
      </c>
      <c r="M3780" s="2" t="s">
        <v>267</v>
      </c>
      <c r="N3780" s="2" t="s">
        <v>500</v>
      </c>
      <c r="O3780" s="2"/>
    </row>
    <row r="3781" spans="1:15" x14ac:dyDescent="0.25">
      <c r="A3781" s="2" t="s">
        <v>15</v>
      </c>
      <c r="B3781" s="2" t="str">
        <f>"FES1162772182"</f>
        <v>FES1162772182</v>
      </c>
      <c r="C3781" s="2" t="s">
        <v>2282</v>
      </c>
      <c r="D3781" s="2">
        <v>1</v>
      </c>
      <c r="E3781" s="2" t="str">
        <f>"21707"</f>
        <v>21707</v>
      </c>
      <c r="F3781" s="2" t="s">
        <v>17</v>
      </c>
      <c r="G3781" s="2" t="s">
        <v>18</v>
      </c>
      <c r="H3781" s="2" t="s">
        <v>36</v>
      </c>
      <c r="I3781" s="2" t="s">
        <v>37</v>
      </c>
      <c r="J3781" s="2" t="s">
        <v>631</v>
      </c>
      <c r="K3781" s="2" t="s">
        <v>2356</v>
      </c>
      <c r="L3781" s="3">
        <v>0.40486111111111112</v>
      </c>
      <c r="M3781" s="2" t="s">
        <v>2418</v>
      </c>
      <c r="N3781" s="2" t="s">
        <v>500</v>
      </c>
      <c r="O3781" s="2"/>
    </row>
    <row r="3782" spans="1:15" x14ac:dyDescent="0.25">
      <c r="A3782" s="2" t="s">
        <v>15</v>
      </c>
      <c r="B3782" s="2" t="str">
        <f>"FES1162772102"</f>
        <v>FES1162772102</v>
      </c>
      <c r="C3782" s="2" t="s">
        <v>2282</v>
      </c>
      <c r="D3782" s="2">
        <v>1</v>
      </c>
      <c r="E3782" s="2" t="str">
        <f>"2170758369"</f>
        <v>2170758369</v>
      </c>
      <c r="F3782" s="2" t="s">
        <v>17</v>
      </c>
      <c r="G3782" s="2" t="s">
        <v>18</v>
      </c>
      <c r="H3782" s="2" t="s">
        <v>19</v>
      </c>
      <c r="I3782" s="2" t="s">
        <v>73</v>
      </c>
      <c r="J3782" s="2" t="s">
        <v>1226</v>
      </c>
      <c r="K3782" s="2" t="s">
        <v>2356</v>
      </c>
      <c r="L3782" s="3">
        <v>0.53125</v>
      </c>
      <c r="M3782" s="2" t="s">
        <v>744</v>
      </c>
      <c r="N3782" s="2" t="s">
        <v>500</v>
      </c>
      <c r="O3782" s="2"/>
    </row>
    <row r="3783" spans="1:15" x14ac:dyDescent="0.25">
      <c r="A3783" s="2" t="s">
        <v>15</v>
      </c>
      <c r="B3783" s="2" t="str">
        <f>"FES1162772332"</f>
        <v>FES1162772332</v>
      </c>
      <c r="C3783" s="2" t="s">
        <v>2282</v>
      </c>
      <c r="D3783" s="2">
        <v>1</v>
      </c>
      <c r="E3783" s="2" t="str">
        <f>"21707557483"</f>
        <v>21707557483</v>
      </c>
      <c r="F3783" s="2" t="s">
        <v>17</v>
      </c>
      <c r="G3783" s="2" t="s">
        <v>18</v>
      </c>
      <c r="H3783" s="2" t="s">
        <v>88</v>
      </c>
      <c r="I3783" s="2" t="s">
        <v>612</v>
      </c>
      <c r="J3783" s="2" t="s">
        <v>1126</v>
      </c>
      <c r="K3783" s="2" t="s">
        <v>2356</v>
      </c>
      <c r="L3783" s="3">
        <v>0.64722222222222225</v>
      </c>
      <c r="M3783" s="2" t="s">
        <v>1250</v>
      </c>
      <c r="N3783" s="2" t="s">
        <v>500</v>
      </c>
      <c r="O3783" s="2"/>
    </row>
    <row r="3784" spans="1:15" x14ac:dyDescent="0.25">
      <c r="A3784" s="2" t="s">
        <v>15</v>
      </c>
      <c r="B3784" s="2" t="str">
        <f>"FES1162772404"</f>
        <v>FES1162772404</v>
      </c>
      <c r="C3784" s="2" t="s">
        <v>2282</v>
      </c>
      <c r="D3784" s="2">
        <v>1</v>
      </c>
      <c r="E3784" s="2" t="str">
        <f>"2170759252"</f>
        <v>2170759252</v>
      </c>
      <c r="F3784" s="2" t="s">
        <v>17</v>
      </c>
      <c r="G3784" s="2" t="s">
        <v>18</v>
      </c>
      <c r="H3784" s="2" t="s">
        <v>25</v>
      </c>
      <c r="I3784" s="2" t="s">
        <v>26</v>
      </c>
      <c r="J3784" s="2" t="s">
        <v>763</v>
      </c>
      <c r="K3784" s="2" t="s">
        <v>2356</v>
      </c>
      <c r="L3784" s="3">
        <v>0.40208333333333335</v>
      </c>
      <c r="M3784" s="2" t="s">
        <v>2127</v>
      </c>
      <c r="N3784" s="2" t="s">
        <v>500</v>
      </c>
      <c r="O3784" s="2"/>
    </row>
    <row r="3785" spans="1:15" x14ac:dyDescent="0.25">
      <c r="A3785" s="2" t="s">
        <v>15</v>
      </c>
      <c r="B3785" s="2" t="str">
        <f>"FES1162772369"</f>
        <v>FES1162772369</v>
      </c>
      <c r="C3785" s="2" t="s">
        <v>2282</v>
      </c>
      <c r="D3785" s="2">
        <v>1</v>
      </c>
      <c r="E3785" s="2" t="str">
        <f>"2170756563"</f>
        <v>2170756563</v>
      </c>
      <c r="F3785" s="2" t="s">
        <v>17</v>
      </c>
      <c r="G3785" s="2" t="s">
        <v>18</v>
      </c>
      <c r="H3785" s="2" t="s">
        <v>484</v>
      </c>
      <c r="I3785" s="2" t="s">
        <v>485</v>
      </c>
      <c r="J3785" s="2" t="s">
        <v>2372</v>
      </c>
      <c r="K3785" s="2" t="s">
        <v>2356</v>
      </c>
      <c r="L3785" s="3">
        <v>0.41666666666666669</v>
      </c>
      <c r="M3785" s="2" t="s">
        <v>2419</v>
      </c>
      <c r="N3785" s="2" t="s">
        <v>500</v>
      </c>
      <c r="O3785" s="2"/>
    </row>
    <row r="3786" spans="1:15" x14ac:dyDescent="0.25">
      <c r="A3786" s="2" t="s">
        <v>15</v>
      </c>
      <c r="B3786" s="2" t="str">
        <f>"FES1162772381"</f>
        <v>FES1162772381</v>
      </c>
      <c r="C3786" s="2" t="s">
        <v>2282</v>
      </c>
      <c r="D3786" s="2">
        <v>1</v>
      </c>
      <c r="E3786" s="2" t="str">
        <f>"2170759240"</f>
        <v>2170759240</v>
      </c>
      <c r="F3786" s="2" t="s">
        <v>17</v>
      </c>
      <c r="G3786" s="2" t="s">
        <v>18</v>
      </c>
      <c r="H3786" s="2" t="s">
        <v>36</v>
      </c>
      <c r="I3786" s="2" t="s">
        <v>37</v>
      </c>
      <c r="J3786" s="2" t="s">
        <v>104</v>
      </c>
      <c r="K3786" s="2" t="s">
        <v>2356</v>
      </c>
      <c r="L3786" s="3">
        <v>0.40277777777777773</v>
      </c>
      <c r="M3786" s="2" t="s">
        <v>672</v>
      </c>
      <c r="N3786" s="2" t="s">
        <v>500</v>
      </c>
      <c r="O3786" s="2"/>
    </row>
    <row r="3787" spans="1:15" x14ac:dyDescent="0.25">
      <c r="A3787" s="2" t="s">
        <v>15</v>
      </c>
      <c r="B3787" s="2" t="str">
        <f>"FES1162772390"</f>
        <v>FES1162772390</v>
      </c>
      <c r="C3787" s="2" t="s">
        <v>2282</v>
      </c>
      <c r="D3787" s="2">
        <v>1</v>
      </c>
      <c r="E3787" s="2" t="str">
        <f>"2170759255"</f>
        <v>2170759255</v>
      </c>
      <c r="F3787" s="2" t="s">
        <v>17</v>
      </c>
      <c r="G3787" s="2" t="s">
        <v>18</v>
      </c>
      <c r="H3787" s="2" t="s">
        <v>25</v>
      </c>
      <c r="I3787" s="2" t="s">
        <v>26</v>
      </c>
      <c r="J3787" s="2" t="s">
        <v>75</v>
      </c>
      <c r="K3787" s="2" t="s">
        <v>2356</v>
      </c>
      <c r="L3787" s="3">
        <v>0.38611111111111113</v>
      </c>
      <c r="M3787" s="2" t="s">
        <v>1329</v>
      </c>
      <c r="N3787" s="2" t="s">
        <v>500</v>
      </c>
      <c r="O3787" s="2"/>
    </row>
    <row r="3788" spans="1:15" x14ac:dyDescent="0.25">
      <c r="A3788" s="2" t="s">
        <v>15</v>
      </c>
      <c r="B3788" s="2" t="str">
        <f>"FES1162772333"</f>
        <v>FES1162772333</v>
      </c>
      <c r="C3788" s="2" t="s">
        <v>2282</v>
      </c>
      <c r="D3788" s="2">
        <v>1</v>
      </c>
      <c r="E3788" s="2" t="str">
        <f>"2170757491"</f>
        <v>2170757491</v>
      </c>
      <c r="F3788" s="2" t="s">
        <v>17</v>
      </c>
      <c r="G3788" s="2" t="s">
        <v>18</v>
      </c>
      <c r="H3788" s="2" t="s">
        <v>18</v>
      </c>
      <c r="I3788" s="2" t="s">
        <v>157</v>
      </c>
      <c r="J3788" s="2" t="s">
        <v>2373</v>
      </c>
      <c r="K3788" s="2" t="s">
        <v>2356</v>
      </c>
      <c r="L3788" s="3">
        <v>0.4201388888888889</v>
      </c>
      <c r="M3788" s="2" t="s">
        <v>1721</v>
      </c>
      <c r="N3788" s="2" t="s">
        <v>500</v>
      </c>
      <c r="O3788" s="2"/>
    </row>
    <row r="3789" spans="1:15" x14ac:dyDescent="0.25">
      <c r="A3789" s="2" t="s">
        <v>15</v>
      </c>
      <c r="B3789" s="2" t="str">
        <f>"FES1162772230"</f>
        <v>FES1162772230</v>
      </c>
      <c r="C3789" s="2" t="s">
        <v>2282</v>
      </c>
      <c r="D3789" s="2">
        <v>1</v>
      </c>
      <c r="E3789" s="2" t="str">
        <f>"2170757160"</f>
        <v>2170757160</v>
      </c>
      <c r="F3789" s="2" t="s">
        <v>17</v>
      </c>
      <c r="G3789" s="2" t="s">
        <v>18</v>
      </c>
      <c r="H3789" s="2" t="s">
        <v>18</v>
      </c>
      <c r="I3789" s="2" t="s">
        <v>116</v>
      </c>
      <c r="J3789" s="2" t="s">
        <v>1322</v>
      </c>
      <c r="K3789" s="2" t="s">
        <v>2356</v>
      </c>
      <c r="L3789" s="3">
        <v>0.34930555555555554</v>
      </c>
      <c r="M3789" s="2" t="s">
        <v>2420</v>
      </c>
      <c r="N3789" s="2" t="s">
        <v>500</v>
      </c>
      <c r="O3789" s="2"/>
    </row>
    <row r="3790" spans="1:15" x14ac:dyDescent="0.25">
      <c r="A3790" s="2" t="s">
        <v>15</v>
      </c>
      <c r="B3790" s="2" t="str">
        <f>"FES1162772338"</f>
        <v>FES1162772338</v>
      </c>
      <c r="C3790" s="2" t="s">
        <v>2282</v>
      </c>
      <c r="D3790" s="2">
        <v>1</v>
      </c>
      <c r="E3790" s="2" t="str">
        <f>"2170757529"</f>
        <v>2170757529</v>
      </c>
      <c r="F3790" s="2" t="s">
        <v>17</v>
      </c>
      <c r="G3790" s="2" t="s">
        <v>18</v>
      </c>
      <c r="H3790" s="2" t="s">
        <v>36</v>
      </c>
      <c r="I3790" s="2" t="s">
        <v>37</v>
      </c>
      <c r="J3790" s="2" t="s">
        <v>476</v>
      </c>
      <c r="K3790" s="2" t="s">
        <v>2356</v>
      </c>
      <c r="L3790" s="3">
        <v>0.43402777777777773</v>
      </c>
      <c r="M3790" s="2" t="s">
        <v>1861</v>
      </c>
      <c r="N3790" s="2" t="s">
        <v>500</v>
      </c>
      <c r="O3790" s="2"/>
    </row>
    <row r="3791" spans="1:15" x14ac:dyDescent="0.25">
      <c r="A3791" s="2" t="s">
        <v>15</v>
      </c>
      <c r="B3791" s="2" t="str">
        <f>"FES1162772324"</f>
        <v>FES1162772324</v>
      </c>
      <c r="C3791" s="2" t="s">
        <v>2282</v>
      </c>
      <c r="D3791" s="2">
        <v>1</v>
      </c>
      <c r="E3791" s="2" t="str">
        <f>"2170757457"</f>
        <v>2170757457</v>
      </c>
      <c r="F3791" s="2" t="s">
        <v>17</v>
      </c>
      <c r="G3791" s="2" t="s">
        <v>18</v>
      </c>
      <c r="H3791" s="2" t="s">
        <v>18</v>
      </c>
      <c r="I3791" s="2" t="s">
        <v>63</v>
      </c>
      <c r="J3791" s="2" t="s">
        <v>1449</v>
      </c>
      <c r="K3791" s="2" t="s">
        <v>2356</v>
      </c>
      <c r="L3791" s="3">
        <v>0.35347222222222219</v>
      </c>
      <c r="M3791" s="2" t="s">
        <v>1564</v>
      </c>
      <c r="N3791" s="2" t="s">
        <v>500</v>
      </c>
      <c r="O3791" s="2"/>
    </row>
    <row r="3792" spans="1:15" x14ac:dyDescent="0.25">
      <c r="A3792" s="2" t="s">
        <v>15</v>
      </c>
      <c r="B3792" s="2" t="str">
        <f>"FES1162772290"</f>
        <v>FES1162772290</v>
      </c>
      <c r="C3792" s="2" t="s">
        <v>2282</v>
      </c>
      <c r="D3792" s="2">
        <v>1</v>
      </c>
      <c r="E3792" s="2" t="str">
        <f>"2170756976"</f>
        <v>2170756976</v>
      </c>
      <c r="F3792" s="2" t="s">
        <v>17</v>
      </c>
      <c r="G3792" s="2" t="s">
        <v>18</v>
      </c>
      <c r="H3792" s="2" t="s">
        <v>18</v>
      </c>
      <c r="I3792" s="2" t="s">
        <v>63</v>
      </c>
      <c r="J3792" s="2" t="s">
        <v>1287</v>
      </c>
      <c r="K3792" s="2" t="s">
        <v>2356</v>
      </c>
      <c r="L3792" s="3">
        <v>0.34652777777777777</v>
      </c>
      <c r="M3792" s="2" t="s">
        <v>1339</v>
      </c>
      <c r="N3792" s="2" t="s">
        <v>500</v>
      </c>
      <c r="O3792" s="2"/>
    </row>
    <row r="3793" spans="1:15" x14ac:dyDescent="0.25">
      <c r="A3793" s="2" t="s">
        <v>15</v>
      </c>
      <c r="B3793" s="2" t="str">
        <f>"FES1162772224"</f>
        <v>FES1162772224</v>
      </c>
      <c r="C3793" s="2" t="s">
        <v>2282</v>
      </c>
      <c r="D3793" s="2">
        <v>1</v>
      </c>
      <c r="E3793" s="2" t="str">
        <f>"2170757126"</f>
        <v>2170757126</v>
      </c>
      <c r="F3793" s="2" t="s">
        <v>17</v>
      </c>
      <c r="G3793" s="2" t="s">
        <v>18</v>
      </c>
      <c r="H3793" s="2" t="s">
        <v>36</v>
      </c>
      <c r="I3793" s="2" t="s">
        <v>37</v>
      </c>
      <c r="J3793" s="2" t="s">
        <v>1455</v>
      </c>
      <c r="K3793" s="2" t="s">
        <v>2356</v>
      </c>
      <c r="L3793" s="3">
        <v>0.34236111111111112</v>
      </c>
      <c r="M3793" s="2" t="s">
        <v>2115</v>
      </c>
      <c r="N3793" s="2" t="s">
        <v>500</v>
      </c>
      <c r="O3793" s="2"/>
    </row>
    <row r="3794" spans="1:15" x14ac:dyDescent="0.25">
      <c r="A3794" s="2" t="s">
        <v>15</v>
      </c>
      <c r="B3794" s="2" t="str">
        <f>"FES1162772329"</f>
        <v>FES1162772329</v>
      </c>
      <c r="C3794" s="2" t="s">
        <v>2282</v>
      </c>
      <c r="D3794" s="2">
        <v>1</v>
      </c>
      <c r="E3794" s="2" t="str">
        <f>"2170757475"</f>
        <v>2170757475</v>
      </c>
      <c r="F3794" s="2" t="s">
        <v>17</v>
      </c>
      <c r="G3794" s="2" t="s">
        <v>18</v>
      </c>
      <c r="H3794" s="2" t="s">
        <v>36</v>
      </c>
      <c r="I3794" s="2" t="s">
        <v>134</v>
      </c>
      <c r="J3794" s="2" t="s">
        <v>135</v>
      </c>
      <c r="K3794" s="2" t="s">
        <v>2356</v>
      </c>
      <c r="L3794" s="3">
        <v>0.59166666666666667</v>
      </c>
      <c r="M3794" s="2" t="s">
        <v>744</v>
      </c>
      <c r="N3794" s="2" t="s">
        <v>500</v>
      </c>
      <c r="O3794" s="2"/>
    </row>
    <row r="3795" spans="1:15" x14ac:dyDescent="0.25">
      <c r="A3795" s="2" t="s">
        <v>15</v>
      </c>
      <c r="B3795" s="2" t="str">
        <f>"FES1162772107"</f>
        <v>FES1162772107</v>
      </c>
      <c r="C3795" s="2" t="s">
        <v>2282</v>
      </c>
      <c r="D3795" s="2">
        <v>1</v>
      </c>
      <c r="E3795" s="2" t="str">
        <f>"2170759116"</f>
        <v>2170759116</v>
      </c>
      <c r="F3795" s="2" t="s">
        <v>17</v>
      </c>
      <c r="G3795" s="2" t="s">
        <v>18</v>
      </c>
      <c r="H3795" s="2" t="s">
        <v>19</v>
      </c>
      <c r="I3795" s="2" t="s">
        <v>20</v>
      </c>
      <c r="J3795" s="2" t="s">
        <v>1124</v>
      </c>
      <c r="K3795" s="2" t="s">
        <v>2356</v>
      </c>
      <c r="L3795" s="3">
        <v>0.4145833333333333</v>
      </c>
      <c r="M3795" s="2" t="s">
        <v>1167</v>
      </c>
      <c r="N3795" s="2" t="s">
        <v>500</v>
      </c>
      <c r="O3795" s="2"/>
    </row>
    <row r="3796" spans="1:15" x14ac:dyDescent="0.25">
      <c r="A3796" s="2" t="s">
        <v>15</v>
      </c>
      <c r="B3796" s="2" t="str">
        <f>"FES1162772436"</f>
        <v>FES1162772436</v>
      </c>
      <c r="C3796" s="2" t="s">
        <v>2282</v>
      </c>
      <c r="D3796" s="2">
        <v>1</v>
      </c>
      <c r="E3796" s="2" t="str">
        <f>"2170759217"</f>
        <v>2170759217</v>
      </c>
      <c r="F3796" s="2" t="s">
        <v>17</v>
      </c>
      <c r="G3796" s="2" t="s">
        <v>18</v>
      </c>
      <c r="H3796" s="2" t="s">
        <v>25</v>
      </c>
      <c r="I3796" s="2" t="s">
        <v>26</v>
      </c>
      <c r="J3796" s="2" t="s">
        <v>44</v>
      </c>
      <c r="K3796" s="2" t="s">
        <v>2356</v>
      </c>
      <c r="L3796" s="3">
        <v>0.42708333333333331</v>
      </c>
      <c r="M3796" s="2" t="s">
        <v>181</v>
      </c>
      <c r="N3796" s="2" t="s">
        <v>500</v>
      </c>
      <c r="O3796" s="2"/>
    </row>
    <row r="3797" spans="1:15" x14ac:dyDescent="0.25">
      <c r="A3797" s="2" t="s">
        <v>15</v>
      </c>
      <c r="B3797" s="2" t="str">
        <f>"FES1162772396"</f>
        <v>FES1162772396</v>
      </c>
      <c r="C3797" s="2" t="s">
        <v>2282</v>
      </c>
      <c r="D3797" s="2">
        <v>1</v>
      </c>
      <c r="E3797" s="2" t="str">
        <f>"2170759267"</f>
        <v>2170759267</v>
      </c>
      <c r="F3797" s="2" t="s">
        <v>17</v>
      </c>
      <c r="G3797" s="2" t="s">
        <v>18</v>
      </c>
      <c r="H3797" s="2" t="s">
        <v>25</v>
      </c>
      <c r="I3797" s="2" t="s">
        <v>125</v>
      </c>
      <c r="J3797" s="2" t="s">
        <v>126</v>
      </c>
      <c r="K3797" s="2" t="s">
        <v>2356</v>
      </c>
      <c r="L3797" s="3">
        <v>0.54097222222222219</v>
      </c>
      <c r="M3797" s="2" t="s">
        <v>235</v>
      </c>
      <c r="N3797" s="2" t="s">
        <v>500</v>
      </c>
      <c r="O3797" s="2"/>
    </row>
    <row r="3798" spans="1:15" x14ac:dyDescent="0.25">
      <c r="A3798" s="2" t="s">
        <v>15</v>
      </c>
      <c r="B3798" s="2" t="str">
        <f>"FES1162772280"</f>
        <v>FES1162772280</v>
      </c>
      <c r="C3798" s="2" t="s">
        <v>2282</v>
      </c>
      <c r="D3798" s="2">
        <v>1</v>
      </c>
      <c r="E3798" s="2" t="str">
        <f>"2170756681"</f>
        <v>2170756681</v>
      </c>
      <c r="F3798" s="2" t="s">
        <v>17</v>
      </c>
      <c r="G3798" s="2" t="s">
        <v>18</v>
      </c>
      <c r="H3798" s="2" t="s">
        <v>36</v>
      </c>
      <c r="I3798" s="2" t="s">
        <v>134</v>
      </c>
      <c r="J3798" s="2" t="s">
        <v>135</v>
      </c>
      <c r="K3798" s="2" t="s">
        <v>2356</v>
      </c>
      <c r="L3798" s="3">
        <v>0.59097222222222223</v>
      </c>
      <c r="M3798" s="2" t="s">
        <v>744</v>
      </c>
      <c r="N3798" s="2" t="s">
        <v>500</v>
      </c>
      <c r="O3798" s="2"/>
    </row>
    <row r="3799" spans="1:15" x14ac:dyDescent="0.25">
      <c r="A3799" s="2" t="s">
        <v>15</v>
      </c>
      <c r="B3799" s="2" t="str">
        <f>"FES1162772167"</f>
        <v>FES1162772167</v>
      </c>
      <c r="C3799" s="2" t="s">
        <v>2282</v>
      </c>
      <c r="D3799" s="2">
        <v>1</v>
      </c>
      <c r="E3799" s="2" t="str">
        <f>"2170759178"</f>
        <v>2170759178</v>
      </c>
      <c r="F3799" s="2" t="s">
        <v>17</v>
      </c>
      <c r="G3799" s="2" t="s">
        <v>18</v>
      </c>
      <c r="H3799" s="2" t="s">
        <v>88</v>
      </c>
      <c r="I3799" s="2" t="s">
        <v>109</v>
      </c>
      <c r="J3799" s="2" t="s">
        <v>880</v>
      </c>
      <c r="K3799" s="2" t="s">
        <v>2356</v>
      </c>
      <c r="L3799" s="3">
        <v>0.52152777777777781</v>
      </c>
      <c r="M3799" s="2" t="s">
        <v>1471</v>
      </c>
      <c r="N3799" s="2" t="s">
        <v>500</v>
      </c>
      <c r="O3799" s="2"/>
    </row>
    <row r="3800" spans="1:15" x14ac:dyDescent="0.25">
      <c r="A3800" s="2" t="s">
        <v>15</v>
      </c>
      <c r="B3800" s="2" t="str">
        <f>"FES1162772438"</f>
        <v>FES1162772438</v>
      </c>
      <c r="C3800" s="2" t="s">
        <v>2282</v>
      </c>
      <c r="D3800" s="2">
        <v>1</v>
      </c>
      <c r="E3800" s="2" t="str">
        <f>"2170759320"</f>
        <v>2170759320</v>
      </c>
      <c r="F3800" s="2" t="s">
        <v>17</v>
      </c>
      <c r="G3800" s="2" t="s">
        <v>18</v>
      </c>
      <c r="H3800" s="2" t="s">
        <v>88</v>
      </c>
      <c r="I3800" s="2" t="s">
        <v>109</v>
      </c>
      <c r="J3800" s="2" t="s">
        <v>155</v>
      </c>
      <c r="K3800" s="2" t="s">
        <v>2356</v>
      </c>
      <c r="L3800" s="3">
        <v>0.36180555555555555</v>
      </c>
      <c r="M3800" s="2" t="s">
        <v>251</v>
      </c>
      <c r="N3800" s="2" t="s">
        <v>500</v>
      </c>
      <c r="O3800" s="2"/>
    </row>
    <row r="3801" spans="1:15" x14ac:dyDescent="0.25">
      <c r="A3801" s="2" t="s">
        <v>15</v>
      </c>
      <c r="B3801" s="2" t="str">
        <f>"FES1162772433"</f>
        <v>FES1162772433</v>
      </c>
      <c r="C3801" s="2" t="s">
        <v>2282</v>
      </c>
      <c r="D3801" s="2">
        <v>1</v>
      </c>
      <c r="E3801" s="2" t="str">
        <f>"2170758052"</f>
        <v>2170758052</v>
      </c>
      <c r="F3801" s="2" t="s">
        <v>17</v>
      </c>
      <c r="G3801" s="2" t="s">
        <v>18</v>
      </c>
      <c r="H3801" s="2" t="s">
        <v>25</v>
      </c>
      <c r="I3801" s="2" t="s">
        <v>26</v>
      </c>
      <c r="J3801" s="2" t="s">
        <v>75</v>
      </c>
      <c r="K3801" s="2" t="s">
        <v>2356</v>
      </c>
      <c r="L3801" s="3">
        <v>0.38680555555555557</v>
      </c>
      <c r="M3801" s="2" t="s">
        <v>1329</v>
      </c>
      <c r="N3801" s="2" t="s">
        <v>500</v>
      </c>
      <c r="O3801" s="2"/>
    </row>
    <row r="3802" spans="1:15" x14ac:dyDescent="0.25">
      <c r="A3802" s="2" t="s">
        <v>15</v>
      </c>
      <c r="B3802" s="2" t="str">
        <f>"FES1162772168"</f>
        <v>FES1162772168</v>
      </c>
      <c r="C3802" s="2" t="s">
        <v>2282</v>
      </c>
      <c r="D3802" s="2">
        <v>1</v>
      </c>
      <c r="E3802" s="2" t="str">
        <f>"2170759179"</f>
        <v>2170759179</v>
      </c>
      <c r="F3802" s="2" t="s">
        <v>17</v>
      </c>
      <c r="G3802" s="2" t="s">
        <v>18</v>
      </c>
      <c r="H3802" s="2" t="s">
        <v>19</v>
      </c>
      <c r="I3802" s="2" t="s">
        <v>20</v>
      </c>
      <c r="J3802" s="2" t="s">
        <v>2374</v>
      </c>
      <c r="K3802" s="2" t="s">
        <v>2356</v>
      </c>
      <c r="L3802" s="3">
        <v>0.60555555555555551</v>
      </c>
      <c r="M3802" s="2" t="s">
        <v>2421</v>
      </c>
      <c r="N3802" s="2" t="s">
        <v>500</v>
      </c>
      <c r="O3802" s="2"/>
    </row>
    <row r="3803" spans="1:15" x14ac:dyDescent="0.25">
      <c r="A3803" s="2" t="s">
        <v>15</v>
      </c>
      <c r="B3803" s="2" t="str">
        <f>"FES1162772221"</f>
        <v>FES1162772221</v>
      </c>
      <c r="C3803" s="2" t="s">
        <v>2282</v>
      </c>
      <c r="D3803" s="2">
        <v>1</v>
      </c>
      <c r="E3803" s="2" t="str">
        <f>"2170757089"</f>
        <v>2170757089</v>
      </c>
      <c r="F3803" s="2" t="s">
        <v>17</v>
      </c>
      <c r="G3803" s="2" t="s">
        <v>18</v>
      </c>
      <c r="H3803" s="2" t="s">
        <v>18</v>
      </c>
      <c r="I3803" s="2" t="s">
        <v>46</v>
      </c>
      <c r="J3803" s="2" t="s">
        <v>1141</v>
      </c>
      <c r="K3803" s="2" t="s">
        <v>2356</v>
      </c>
      <c r="L3803" s="3">
        <v>0.31944444444444448</v>
      </c>
      <c r="M3803" s="2" t="s">
        <v>1142</v>
      </c>
      <c r="N3803" s="2" t="s">
        <v>500</v>
      </c>
      <c r="O3803" s="2"/>
    </row>
    <row r="3804" spans="1:15" x14ac:dyDescent="0.25">
      <c r="A3804" s="2" t="s">
        <v>15</v>
      </c>
      <c r="B3804" s="2" t="str">
        <f>"FES1162772270"</f>
        <v>FES1162772270</v>
      </c>
      <c r="C3804" s="2" t="s">
        <v>2282</v>
      </c>
      <c r="D3804" s="2">
        <v>1</v>
      </c>
      <c r="E3804" s="2" t="str">
        <f>"2170759202 ."</f>
        <v>2170759202 .</v>
      </c>
      <c r="F3804" s="2" t="s">
        <v>205</v>
      </c>
      <c r="G3804" s="2" t="s">
        <v>206</v>
      </c>
      <c r="H3804" s="2" t="s">
        <v>19</v>
      </c>
      <c r="I3804" s="2" t="s">
        <v>20</v>
      </c>
      <c r="J3804" s="2" t="s">
        <v>77</v>
      </c>
      <c r="K3804" s="2" t="s">
        <v>2356</v>
      </c>
      <c r="L3804" s="3">
        <v>0.54305555555555551</v>
      </c>
      <c r="M3804" s="2" t="s">
        <v>1181</v>
      </c>
      <c r="N3804" s="2" t="s">
        <v>500</v>
      </c>
      <c r="O3804" s="2"/>
    </row>
    <row r="3805" spans="1:15" x14ac:dyDescent="0.25">
      <c r="A3805" s="2" t="s">
        <v>15</v>
      </c>
      <c r="B3805" s="2" t="str">
        <f>"FES1162772248"</f>
        <v>FES1162772248</v>
      </c>
      <c r="C3805" s="2" t="s">
        <v>2282</v>
      </c>
      <c r="D3805" s="2">
        <v>1</v>
      </c>
      <c r="E3805" s="2" t="str">
        <f>"2170757368"</f>
        <v>2170757368</v>
      </c>
      <c r="F3805" s="2" t="s">
        <v>480</v>
      </c>
      <c r="G3805" s="2" t="s">
        <v>206</v>
      </c>
      <c r="H3805" s="2" t="s">
        <v>206</v>
      </c>
      <c r="I3805" s="2" t="s">
        <v>290</v>
      </c>
      <c r="J3805" s="2" t="s">
        <v>1309</v>
      </c>
      <c r="K3805" s="2" t="s">
        <v>2356</v>
      </c>
      <c r="L3805" s="3">
        <v>0.375</v>
      </c>
      <c r="M3805" s="2" t="s">
        <v>2422</v>
      </c>
      <c r="N3805" s="2" t="s">
        <v>500</v>
      </c>
      <c r="O3805" s="2"/>
    </row>
    <row r="3806" spans="1:15" x14ac:dyDescent="0.25">
      <c r="A3806" s="2" t="s">
        <v>15</v>
      </c>
      <c r="B3806" s="2" t="str">
        <f>"FES1162772453"</f>
        <v>FES1162772453</v>
      </c>
      <c r="C3806" s="2" t="s">
        <v>2356</v>
      </c>
      <c r="D3806" s="2">
        <v>1</v>
      </c>
      <c r="E3806" s="2" t="str">
        <f>"2170759343"</f>
        <v>2170759343</v>
      </c>
      <c r="F3806" s="2" t="s">
        <v>17</v>
      </c>
      <c r="G3806" s="2" t="s">
        <v>18</v>
      </c>
      <c r="H3806" s="2" t="s">
        <v>19</v>
      </c>
      <c r="I3806" s="2" t="s">
        <v>73</v>
      </c>
      <c r="J3806" s="2" t="s">
        <v>2423</v>
      </c>
      <c r="K3806" s="2" t="s">
        <v>2384</v>
      </c>
      <c r="L3806" s="3">
        <v>0.36458333333333331</v>
      </c>
      <c r="M3806" s="2" t="s">
        <v>188</v>
      </c>
      <c r="N3806" s="2" t="s">
        <v>500</v>
      </c>
      <c r="O3806" s="2"/>
    </row>
    <row r="3807" spans="1:15" x14ac:dyDescent="0.25">
      <c r="A3807" s="2" t="s">
        <v>15</v>
      </c>
      <c r="B3807" s="2" t="str">
        <f>"FES1162772384"</f>
        <v>FES1162772384</v>
      </c>
      <c r="C3807" s="2" t="s">
        <v>2356</v>
      </c>
      <c r="D3807" s="2">
        <v>1</v>
      </c>
      <c r="E3807" s="2" t="str">
        <f>"2170759247"</f>
        <v>2170759247</v>
      </c>
      <c r="F3807" s="2" t="s">
        <v>17</v>
      </c>
      <c r="G3807" s="2" t="s">
        <v>18</v>
      </c>
      <c r="H3807" s="2" t="s">
        <v>19</v>
      </c>
      <c r="I3807" s="2" t="s">
        <v>269</v>
      </c>
      <c r="J3807" s="2" t="s">
        <v>655</v>
      </c>
      <c r="K3807" s="2" t="s">
        <v>2384</v>
      </c>
      <c r="L3807" s="3">
        <v>0.35694444444444445</v>
      </c>
      <c r="M3807" s="2" t="s">
        <v>1274</v>
      </c>
      <c r="N3807" s="2" t="s">
        <v>500</v>
      </c>
      <c r="O3807" s="2"/>
    </row>
    <row r="3808" spans="1:15" x14ac:dyDescent="0.25">
      <c r="A3808" s="2" t="s">
        <v>15</v>
      </c>
      <c r="B3808" s="2" t="str">
        <f>"FES1162772392"</f>
        <v>FES1162772392</v>
      </c>
      <c r="C3808" s="2" t="s">
        <v>2356</v>
      </c>
      <c r="D3808" s="2">
        <v>1</v>
      </c>
      <c r="E3808" s="2" t="str">
        <f>"2170759258"</f>
        <v>2170759258</v>
      </c>
      <c r="F3808" s="2" t="s">
        <v>480</v>
      </c>
      <c r="G3808" s="2" t="s">
        <v>206</v>
      </c>
      <c r="H3808" s="2" t="s">
        <v>206</v>
      </c>
      <c r="I3808" s="2" t="s">
        <v>329</v>
      </c>
      <c r="J3808" s="2" t="s">
        <v>349</v>
      </c>
      <c r="K3808" s="2" t="s">
        <v>2384</v>
      </c>
      <c r="L3808" s="3">
        <v>0.43055555555555558</v>
      </c>
      <c r="M3808" s="2" t="s">
        <v>1386</v>
      </c>
      <c r="N3808" s="2" t="s">
        <v>500</v>
      </c>
      <c r="O3808" s="2"/>
    </row>
    <row r="3809" spans="1:15" x14ac:dyDescent="0.25">
      <c r="A3809" s="2" t="s">
        <v>15</v>
      </c>
      <c r="B3809" s="2" t="str">
        <f>"FES1162772405"</f>
        <v>FES1162772405</v>
      </c>
      <c r="C3809" s="2" t="s">
        <v>2356</v>
      </c>
      <c r="D3809" s="2">
        <v>1</v>
      </c>
      <c r="E3809" s="2" t="str">
        <f>"2170759266"</f>
        <v>2170759266</v>
      </c>
      <c r="F3809" s="2" t="s">
        <v>17</v>
      </c>
      <c r="G3809" s="2" t="s">
        <v>18</v>
      </c>
      <c r="H3809" s="2" t="s">
        <v>88</v>
      </c>
      <c r="I3809" s="2" t="s">
        <v>109</v>
      </c>
      <c r="J3809" s="2" t="s">
        <v>155</v>
      </c>
      <c r="K3809" s="2" t="s">
        <v>2490</v>
      </c>
      <c r="L3809" s="3">
        <v>0.7416666666666667</v>
      </c>
      <c r="M3809" s="2" t="s">
        <v>251</v>
      </c>
      <c r="N3809" s="2" t="s">
        <v>500</v>
      </c>
      <c r="O3809" s="2"/>
    </row>
    <row r="3810" spans="1:15" x14ac:dyDescent="0.25">
      <c r="A3810" s="2" t="s">
        <v>15</v>
      </c>
      <c r="B3810" s="2" t="str">
        <f>"FES1162772432"</f>
        <v>FES1162772432</v>
      </c>
      <c r="C3810" s="2" t="s">
        <v>2356</v>
      </c>
      <c r="D3810" s="2">
        <v>1</v>
      </c>
      <c r="E3810" s="2" t="str">
        <f>"2170758073"</f>
        <v>2170758073</v>
      </c>
      <c r="F3810" s="2" t="s">
        <v>17</v>
      </c>
      <c r="G3810" s="2" t="s">
        <v>18</v>
      </c>
      <c r="H3810" s="2" t="s">
        <v>18</v>
      </c>
      <c r="I3810" s="2" t="s">
        <v>290</v>
      </c>
      <c r="J3810" s="2" t="s">
        <v>420</v>
      </c>
      <c r="K3810" s="2" t="s">
        <v>2384</v>
      </c>
      <c r="L3810" s="3">
        <v>0.57500000000000007</v>
      </c>
      <c r="M3810" s="2" t="s">
        <v>1757</v>
      </c>
      <c r="N3810" s="2" t="s">
        <v>500</v>
      </c>
      <c r="O3810" s="2"/>
    </row>
    <row r="3811" spans="1:15" x14ac:dyDescent="0.25">
      <c r="A3811" s="2" t="s">
        <v>15</v>
      </c>
      <c r="B3811" s="2" t="str">
        <f>"FES1162772425"</f>
        <v>FES1162772425</v>
      </c>
      <c r="C3811" s="2" t="s">
        <v>2356</v>
      </c>
      <c r="D3811" s="2">
        <v>1</v>
      </c>
      <c r="E3811" s="2" t="str">
        <f>"2170758025"</f>
        <v>2170758025</v>
      </c>
      <c r="F3811" s="2" t="s">
        <v>205</v>
      </c>
      <c r="G3811" s="2" t="s">
        <v>206</v>
      </c>
      <c r="H3811" s="2" t="s">
        <v>1303</v>
      </c>
      <c r="I3811" s="2" t="s">
        <v>105</v>
      </c>
      <c r="J3811" s="2" t="s">
        <v>106</v>
      </c>
      <c r="K3811" s="2" t="s">
        <v>2384</v>
      </c>
      <c r="L3811" s="3">
        <v>0.4375</v>
      </c>
      <c r="M3811" s="2" t="s">
        <v>176</v>
      </c>
      <c r="N3811" s="2" t="s">
        <v>500</v>
      </c>
      <c r="O3811" s="2"/>
    </row>
    <row r="3812" spans="1:15" x14ac:dyDescent="0.25">
      <c r="A3812" s="2" t="s">
        <v>15</v>
      </c>
      <c r="B3812" s="2" t="str">
        <f>"FES1162772428"</f>
        <v>FES1162772428</v>
      </c>
      <c r="C3812" s="2" t="s">
        <v>2356</v>
      </c>
      <c r="D3812" s="2">
        <v>1</v>
      </c>
      <c r="E3812" s="2" t="str">
        <f>"2170759312"</f>
        <v>2170759312</v>
      </c>
      <c r="F3812" s="2" t="s">
        <v>480</v>
      </c>
      <c r="G3812" s="2" t="s">
        <v>206</v>
      </c>
      <c r="H3812" s="2" t="s">
        <v>484</v>
      </c>
      <c r="I3812" s="2" t="s">
        <v>485</v>
      </c>
      <c r="J3812" s="2" t="s">
        <v>1289</v>
      </c>
      <c r="K3812" s="2" t="s">
        <v>2490</v>
      </c>
      <c r="L3812" s="3">
        <v>0.37152777777777773</v>
      </c>
      <c r="M3812" s="2" t="s">
        <v>2167</v>
      </c>
      <c r="N3812" s="2" t="s">
        <v>500</v>
      </c>
      <c r="O3812" s="2"/>
    </row>
    <row r="3813" spans="1:15" x14ac:dyDescent="0.25">
      <c r="A3813" s="2" t="s">
        <v>15</v>
      </c>
      <c r="B3813" s="2" t="str">
        <f>"FES1162772454"</f>
        <v>FES1162772454</v>
      </c>
      <c r="C3813" s="2" t="s">
        <v>2356</v>
      </c>
      <c r="D3813" s="2">
        <v>1</v>
      </c>
      <c r="E3813" s="2" t="str">
        <f>"2170759344"</f>
        <v>2170759344</v>
      </c>
      <c r="F3813" s="2" t="s">
        <v>17</v>
      </c>
      <c r="G3813" s="2" t="s">
        <v>18</v>
      </c>
      <c r="H3813" s="2" t="s">
        <v>19</v>
      </c>
      <c r="I3813" s="2" t="s">
        <v>111</v>
      </c>
      <c r="J3813" s="2" t="s">
        <v>385</v>
      </c>
      <c r="K3813" s="2" t="s">
        <v>2384</v>
      </c>
      <c r="L3813" s="3">
        <v>0.38472222222222219</v>
      </c>
      <c r="M3813" s="2" t="s">
        <v>2454</v>
      </c>
      <c r="N3813" s="2" t="s">
        <v>500</v>
      </c>
      <c r="O3813" s="2"/>
    </row>
    <row r="3814" spans="1:15" x14ac:dyDescent="0.25">
      <c r="A3814" s="22" t="s">
        <v>15</v>
      </c>
      <c r="B3814" s="22" t="str">
        <f>"FES1162772502"</f>
        <v>FES1162772502</v>
      </c>
      <c r="C3814" s="22" t="s">
        <v>2356</v>
      </c>
      <c r="D3814" s="22">
        <v>1</v>
      </c>
      <c r="E3814" s="22" t="str">
        <f>"2170757148"</f>
        <v>2170757148</v>
      </c>
      <c r="F3814" s="22" t="s">
        <v>17</v>
      </c>
      <c r="G3814" s="22" t="s">
        <v>18</v>
      </c>
      <c r="H3814" s="22" t="s">
        <v>25</v>
      </c>
      <c r="I3814" s="22" t="s">
        <v>345</v>
      </c>
      <c r="J3814" s="22" t="s">
        <v>412</v>
      </c>
      <c r="K3814" s="22" t="s">
        <v>2490</v>
      </c>
      <c r="L3814" s="22"/>
      <c r="M3814" s="22" t="s">
        <v>23</v>
      </c>
      <c r="N3814" s="22" t="s">
        <v>175</v>
      </c>
      <c r="O3814" s="22"/>
    </row>
    <row r="3815" spans="1:15" x14ac:dyDescent="0.25">
      <c r="A3815" s="2" t="s">
        <v>15</v>
      </c>
      <c r="B3815" s="2" t="str">
        <f>"FES1162772507"</f>
        <v>FES1162772507</v>
      </c>
      <c r="C3815" s="2" t="s">
        <v>2356</v>
      </c>
      <c r="D3815" s="2">
        <v>1</v>
      </c>
      <c r="E3815" s="2" t="str">
        <f>"2170759373"</f>
        <v>2170759373</v>
      </c>
      <c r="F3815" s="2" t="s">
        <v>17</v>
      </c>
      <c r="G3815" s="2" t="s">
        <v>18</v>
      </c>
      <c r="H3815" s="2" t="s">
        <v>25</v>
      </c>
      <c r="I3815" s="2" t="s">
        <v>26</v>
      </c>
      <c r="J3815" s="2" t="s">
        <v>915</v>
      </c>
      <c r="K3815" s="2" t="s">
        <v>2384</v>
      </c>
      <c r="L3815" s="3">
        <v>0.36388888888888887</v>
      </c>
      <c r="M3815" s="2" t="s">
        <v>2455</v>
      </c>
      <c r="N3815" s="2" t="s">
        <v>500</v>
      </c>
      <c r="O3815" s="2"/>
    </row>
    <row r="3816" spans="1:15" x14ac:dyDescent="0.25">
      <c r="A3816" s="2" t="s">
        <v>15</v>
      </c>
      <c r="B3816" s="2" t="str">
        <f>"FES1162772417"</f>
        <v>FES1162772417</v>
      </c>
      <c r="C3816" s="2" t="s">
        <v>2356</v>
      </c>
      <c r="D3816" s="2">
        <v>1</v>
      </c>
      <c r="E3816" s="2" t="str">
        <f>"2170759293"</f>
        <v>2170759293</v>
      </c>
      <c r="F3816" s="2" t="s">
        <v>17</v>
      </c>
      <c r="G3816" s="2" t="s">
        <v>18</v>
      </c>
      <c r="H3816" s="2" t="s">
        <v>18</v>
      </c>
      <c r="I3816" s="2" t="s">
        <v>57</v>
      </c>
      <c r="J3816" s="2" t="s">
        <v>906</v>
      </c>
      <c r="K3816" s="2" t="s">
        <v>2384</v>
      </c>
      <c r="L3816" s="3">
        <v>0.4465277777777778</v>
      </c>
      <c r="M3816" s="2" t="s">
        <v>471</v>
      </c>
      <c r="N3816" s="2" t="s">
        <v>500</v>
      </c>
      <c r="O3816" s="2"/>
    </row>
    <row r="3817" spans="1:15" x14ac:dyDescent="0.25">
      <c r="A3817" s="2" t="s">
        <v>15</v>
      </c>
      <c r="B3817" s="2" t="str">
        <f>"FES1162772435"</f>
        <v>FES1162772435</v>
      </c>
      <c r="C3817" s="2" t="s">
        <v>2356</v>
      </c>
      <c r="D3817" s="2">
        <v>1</v>
      </c>
      <c r="E3817" s="2" t="str">
        <f>"2170757457"</f>
        <v>2170757457</v>
      </c>
      <c r="F3817" s="2" t="s">
        <v>17</v>
      </c>
      <c r="G3817" s="2" t="s">
        <v>18</v>
      </c>
      <c r="H3817" s="2" t="s">
        <v>18</v>
      </c>
      <c r="I3817" s="2" t="s">
        <v>63</v>
      </c>
      <c r="J3817" s="2" t="s">
        <v>1449</v>
      </c>
      <c r="K3817" s="2" t="s">
        <v>2384</v>
      </c>
      <c r="L3817" s="3">
        <v>0.41944444444444445</v>
      </c>
      <c r="M3817" s="2" t="s">
        <v>1564</v>
      </c>
      <c r="N3817" s="2" t="s">
        <v>500</v>
      </c>
      <c r="O3817" s="2"/>
    </row>
    <row r="3818" spans="1:15" x14ac:dyDescent="0.25">
      <c r="A3818" s="2" t="s">
        <v>15</v>
      </c>
      <c r="B3818" s="2" t="str">
        <f>"FES1162772426"</f>
        <v>FES1162772426</v>
      </c>
      <c r="C3818" s="2" t="s">
        <v>2356</v>
      </c>
      <c r="D3818" s="2">
        <v>1</v>
      </c>
      <c r="E3818" s="2" t="str">
        <f>"2170759308"</f>
        <v>2170759308</v>
      </c>
      <c r="F3818" s="2" t="s">
        <v>17</v>
      </c>
      <c r="G3818" s="2" t="s">
        <v>18</v>
      </c>
      <c r="H3818" s="2" t="s">
        <v>36</v>
      </c>
      <c r="I3818" s="2" t="s">
        <v>37</v>
      </c>
      <c r="J3818" s="2" t="s">
        <v>104</v>
      </c>
      <c r="K3818" s="2" t="s">
        <v>2384</v>
      </c>
      <c r="L3818" s="3">
        <v>0.43055555555555558</v>
      </c>
      <c r="M3818" s="2" t="s">
        <v>2456</v>
      </c>
      <c r="N3818" s="2" t="s">
        <v>500</v>
      </c>
      <c r="O3818" s="2"/>
    </row>
    <row r="3819" spans="1:15" x14ac:dyDescent="0.25">
      <c r="A3819" s="2" t="s">
        <v>15</v>
      </c>
      <c r="B3819" s="2" t="str">
        <f>"FES1162772408"</f>
        <v>FES1162772408</v>
      </c>
      <c r="C3819" s="2" t="s">
        <v>2356</v>
      </c>
      <c r="D3819" s="2">
        <v>1</v>
      </c>
      <c r="E3819" s="2" t="str">
        <f>"2170759279"</f>
        <v>2170759279</v>
      </c>
      <c r="F3819" s="2" t="s">
        <v>17</v>
      </c>
      <c r="G3819" s="2" t="s">
        <v>18</v>
      </c>
      <c r="H3819" s="2" t="s">
        <v>36</v>
      </c>
      <c r="I3819" s="2" t="s">
        <v>134</v>
      </c>
      <c r="J3819" s="2" t="s">
        <v>135</v>
      </c>
      <c r="K3819" s="2" t="s">
        <v>2490</v>
      </c>
      <c r="L3819" s="3">
        <v>0.56527777777777777</v>
      </c>
      <c r="M3819" s="2" t="s">
        <v>744</v>
      </c>
      <c r="N3819" s="2" t="s">
        <v>500</v>
      </c>
      <c r="O3819" s="2"/>
    </row>
    <row r="3820" spans="1:15" x14ac:dyDescent="0.25">
      <c r="A3820" s="2" t="s">
        <v>15</v>
      </c>
      <c r="B3820" s="2" t="str">
        <f>"FES1162772467"</f>
        <v>FES1162772467</v>
      </c>
      <c r="C3820" s="2" t="s">
        <v>2356</v>
      </c>
      <c r="D3820" s="2">
        <v>1</v>
      </c>
      <c r="E3820" s="2" t="str">
        <f>"2170759361"</f>
        <v>2170759361</v>
      </c>
      <c r="F3820" s="2" t="s">
        <v>17</v>
      </c>
      <c r="G3820" s="2" t="s">
        <v>18</v>
      </c>
      <c r="H3820" s="2" t="s">
        <v>25</v>
      </c>
      <c r="I3820" s="2" t="s">
        <v>26</v>
      </c>
      <c r="J3820" s="2" t="s">
        <v>2424</v>
      </c>
      <c r="K3820" s="2" t="s">
        <v>2384</v>
      </c>
      <c r="L3820" s="3">
        <v>0.35833333333333334</v>
      </c>
      <c r="M3820" s="2" t="s">
        <v>1276</v>
      </c>
      <c r="N3820" s="2" t="s">
        <v>500</v>
      </c>
      <c r="O3820" s="2"/>
    </row>
    <row r="3821" spans="1:15" x14ac:dyDescent="0.25">
      <c r="A3821" s="2" t="s">
        <v>15</v>
      </c>
      <c r="B3821" s="2" t="str">
        <f>"FES1162772481"</f>
        <v>FES1162772481</v>
      </c>
      <c r="C3821" s="2" t="s">
        <v>2356</v>
      </c>
      <c r="D3821" s="2">
        <v>1</v>
      </c>
      <c r="E3821" s="2" t="str">
        <f>"2170758834"</f>
        <v>2170758834</v>
      </c>
      <c r="F3821" s="2" t="s">
        <v>17</v>
      </c>
      <c r="G3821" s="2" t="s">
        <v>18</v>
      </c>
      <c r="H3821" s="2" t="s">
        <v>25</v>
      </c>
      <c r="I3821" s="2" t="s">
        <v>26</v>
      </c>
      <c r="J3821" s="2" t="s">
        <v>75</v>
      </c>
      <c r="K3821" s="2" t="s">
        <v>2384</v>
      </c>
      <c r="L3821" s="3">
        <v>0.35833333333333334</v>
      </c>
      <c r="M3821" s="2" t="s">
        <v>677</v>
      </c>
      <c r="N3821" s="2" t="s">
        <v>500</v>
      </c>
      <c r="O3821" s="2"/>
    </row>
    <row r="3822" spans="1:15" x14ac:dyDescent="0.25">
      <c r="A3822" s="2" t="s">
        <v>15</v>
      </c>
      <c r="B3822" s="2" t="str">
        <f>"FES1162772522"</f>
        <v>FES1162772522</v>
      </c>
      <c r="C3822" s="2" t="s">
        <v>2356</v>
      </c>
      <c r="D3822" s="2">
        <v>1</v>
      </c>
      <c r="E3822" s="2" t="str">
        <f>"2170759401"</f>
        <v>2170759401</v>
      </c>
      <c r="F3822" s="2" t="s">
        <v>17</v>
      </c>
      <c r="G3822" s="2" t="s">
        <v>18</v>
      </c>
      <c r="H3822" s="2" t="s">
        <v>19</v>
      </c>
      <c r="I3822" s="2" t="s">
        <v>20</v>
      </c>
      <c r="J3822" s="2" t="s">
        <v>21</v>
      </c>
      <c r="K3822" s="2" t="s">
        <v>2384</v>
      </c>
      <c r="L3822" s="3">
        <v>0.39166666666666666</v>
      </c>
      <c r="M3822" s="2" t="s">
        <v>682</v>
      </c>
      <c r="N3822" s="2" t="s">
        <v>500</v>
      </c>
      <c r="O3822" s="2"/>
    </row>
    <row r="3823" spans="1:15" x14ac:dyDescent="0.25">
      <c r="A3823" s="2" t="s">
        <v>15</v>
      </c>
      <c r="B3823" s="2" t="str">
        <f>"FES1162772528"</f>
        <v>FES1162772528</v>
      </c>
      <c r="C3823" s="2" t="s">
        <v>2356</v>
      </c>
      <c r="D3823" s="2">
        <v>1</v>
      </c>
      <c r="E3823" s="2" t="str">
        <f>"2170759412"</f>
        <v>2170759412</v>
      </c>
      <c r="F3823" s="2" t="s">
        <v>17</v>
      </c>
      <c r="G3823" s="2" t="s">
        <v>18</v>
      </c>
      <c r="H3823" s="2" t="s">
        <v>19</v>
      </c>
      <c r="I3823" s="2" t="s">
        <v>20</v>
      </c>
      <c r="J3823" s="2" t="s">
        <v>29</v>
      </c>
      <c r="K3823" s="2" t="s">
        <v>2384</v>
      </c>
      <c r="L3823" s="3">
        <v>0.4069444444444445</v>
      </c>
      <c r="M3823" s="2" t="s">
        <v>682</v>
      </c>
      <c r="N3823" s="2" t="s">
        <v>500</v>
      </c>
      <c r="O3823" s="2"/>
    </row>
    <row r="3824" spans="1:15" x14ac:dyDescent="0.25">
      <c r="A3824" s="2" t="s">
        <v>15</v>
      </c>
      <c r="B3824" s="2" t="str">
        <f>"FES1162772501"</f>
        <v>FES1162772501</v>
      </c>
      <c r="C3824" s="2" t="s">
        <v>2356</v>
      </c>
      <c r="D3824" s="2">
        <v>1</v>
      </c>
      <c r="E3824" s="2" t="str">
        <f>"2170756494"</f>
        <v>2170756494</v>
      </c>
      <c r="F3824" s="2" t="s">
        <v>17</v>
      </c>
      <c r="G3824" s="2" t="s">
        <v>18</v>
      </c>
      <c r="H3824" s="2" t="s">
        <v>19</v>
      </c>
      <c r="I3824" s="2" t="s">
        <v>20</v>
      </c>
      <c r="J3824" s="2" t="s">
        <v>128</v>
      </c>
      <c r="K3824" s="2" t="s">
        <v>2384</v>
      </c>
      <c r="L3824" s="3">
        <v>0.32777777777777778</v>
      </c>
      <c r="M3824" s="2" t="s">
        <v>1723</v>
      </c>
      <c r="N3824" s="2" t="s">
        <v>500</v>
      </c>
      <c r="O3824" s="2"/>
    </row>
    <row r="3825" spans="1:15" x14ac:dyDescent="0.25">
      <c r="A3825" s="2" t="s">
        <v>15</v>
      </c>
      <c r="B3825" s="2" t="str">
        <f>"FES1162772423"</f>
        <v>FES1162772423</v>
      </c>
      <c r="C3825" s="2" t="s">
        <v>2356</v>
      </c>
      <c r="D3825" s="2">
        <v>1</v>
      </c>
      <c r="E3825" s="2" t="str">
        <f>"2170759302"</f>
        <v>2170759302</v>
      </c>
      <c r="F3825" s="2" t="s">
        <v>17</v>
      </c>
      <c r="G3825" s="2" t="s">
        <v>18</v>
      </c>
      <c r="H3825" s="2" t="s">
        <v>18</v>
      </c>
      <c r="I3825" s="2" t="s">
        <v>46</v>
      </c>
      <c r="J3825" s="2" t="s">
        <v>423</v>
      </c>
      <c r="K3825" s="2" t="s">
        <v>2384</v>
      </c>
      <c r="L3825" s="3">
        <v>0.375</v>
      </c>
      <c r="M3825" s="2" t="s">
        <v>528</v>
      </c>
      <c r="N3825" s="2" t="s">
        <v>500</v>
      </c>
      <c r="O3825" s="2"/>
    </row>
    <row r="3826" spans="1:15" x14ac:dyDescent="0.25">
      <c r="A3826" s="2" t="s">
        <v>15</v>
      </c>
      <c r="B3826" s="2" t="str">
        <f>"FES1162772515"</f>
        <v>FES1162772515</v>
      </c>
      <c r="C3826" s="2" t="s">
        <v>2356</v>
      </c>
      <c r="D3826" s="2">
        <v>1</v>
      </c>
      <c r="E3826" s="2" t="str">
        <f>"2170755634"</f>
        <v>2170755634</v>
      </c>
      <c r="F3826" s="2" t="s">
        <v>17</v>
      </c>
      <c r="G3826" s="2" t="s">
        <v>18</v>
      </c>
      <c r="H3826" s="2" t="s">
        <v>25</v>
      </c>
      <c r="I3826" s="2" t="s">
        <v>39</v>
      </c>
      <c r="J3826" s="2" t="s">
        <v>40</v>
      </c>
      <c r="K3826" s="2" t="s">
        <v>2384</v>
      </c>
      <c r="L3826" s="3">
        <v>0.41666666666666669</v>
      </c>
      <c r="M3826" s="2" t="s">
        <v>807</v>
      </c>
      <c r="N3826" s="2" t="s">
        <v>500</v>
      </c>
      <c r="O3826" s="2"/>
    </row>
    <row r="3827" spans="1:15" x14ac:dyDescent="0.25">
      <c r="A3827" s="2" t="s">
        <v>15</v>
      </c>
      <c r="B3827" s="2" t="str">
        <f>"FES1162772485"</f>
        <v>FES1162772485</v>
      </c>
      <c r="C3827" s="2" t="s">
        <v>2356</v>
      </c>
      <c r="D3827" s="2">
        <v>1</v>
      </c>
      <c r="E3827" s="2" t="str">
        <f>"2170759015"</f>
        <v>2170759015</v>
      </c>
      <c r="F3827" s="2" t="s">
        <v>17</v>
      </c>
      <c r="G3827" s="2" t="s">
        <v>18</v>
      </c>
      <c r="H3827" s="2" t="s">
        <v>25</v>
      </c>
      <c r="I3827" s="2" t="s">
        <v>26</v>
      </c>
      <c r="J3827" s="2" t="s">
        <v>27</v>
      </c>
      <c r="K3827" s="2" t="s">
        <v>2384</v>
      </c>
      <c r="L3827" s="3">
        <v>0.36874999999999997</v>
      </c>
      <c r="M3827" s="2" t="s">
        <v>521</v>
      </c>
      <c r="N3827" s="2" t="s">
        <v>500</v>
      </c>
      <c r="O3827" s="2"/>
    </row>
    <row r="3828" spans="1:15" x14ac:dyDescent="0.25">
      <c r="A3828" s="2" t="s">
        <v>15</v>
      </c>
      <c r="B3828" s="2" t="str">
        <f>"FES1162772518"</f>
        <v>FES1162772518</v>
      </c>
      <c r="C3828" s="2" t="s">
        <v>2356</v>
      </c>
      <c r="D3828" s="2">
        <v>1</v>
      </c>
      <c r="E3828" s="2" t="str">
        <f>"2170759179"</f>
        <v>2170759179</v>
      </c>
      <c r="F3828" s="2" t="s">
        <v>17</v>
      </c>
      <c r="G3828" s="2" t="s">
        <v>18</v>
      </c>
      <c r="H3828" s="2" t="s">
        <v>19</v>
      </c>
      <c r="I3828" s="2" t="s">
        <v>20</v>
      </c>
      <c r="J3828" s="2" t="s">
        <v>2374</v>
      </c>
      <c r="K3828" s="2" t="s">
        <v>2384</v>
      </c>
      <c r="L3828" s="3">
        <v>0.47291666666666665</v>
      </c>
      <c r="M3828" s="2" t="s">
        <v>2421</v>
      </c>
      <c r="N3828" s="2" t="s">
        <v>500</v>
      </c>
      <c r="O3828" s="2"/>
    </row>
    <row r="3829" spans="1:15" x14ac:dyDescent="0.25">
      <c r="A3829" s="2" t="s">
        <v>15</v>
      </c>
      <c r="B3829" s="2" t="str">
        <f>"FES1162772422"</f>
        <v>FES1162772422</v>
      </c>
      <c r="C3829" s="2" t="s">
        <v>2356</v>
      </c>
      <c r="D3829" s="2">
        <v>1</v>
      </c>
      <c r="E3829" s="2" t="str">
        <f>"2170759300"</f>
        <v>2170759300</v>
      </c>
      <c r="F3829" s="2" t="s">
        <v>17</v>
      </c>
      <c r="G3829" s="2" t="s">
        <v>18</v>
      </c>
      <c r="H3829" s="2" t="s">
        <v>19</v>
      </c>
      <c r="I3829" s="2" t="s">
        <v>111</v>
      </c>
      <c r="J3829" s="2" t="s">
        <v>70</v>
      </c>
      <c r="K3829" s="2" t="s">
        <v>2384</v>
      </c>
      <c r="L3829" s="3">
        <v>0.44513888888888892</v>
      </c>
      <c r="M3829" s="2" t="s">
        <v>587</v>
      </c>
      <c r="N3829" s="2" t="s">
        <v>500</v>
      </c>
      <c r="O3829" s="2"/>
    </row>
    <row r="3830" spans="1:15" x14ac:dyDescent="0.25">
      <c r="A3830" s="2" t="s">
        <v>15</v>
      </c>
      <c r="B3830" s="2" t="str">
        <f>"FES1162772407"</f>
        <v>FES1162772407</v>
      </c>
      <c r="C3830" s="2" t="s">
        <v>2356</v>
      </c>
      <c r="D3830" s="2">
        <v>1</v>
      </c>
      <c r="E3830" s="2" t="str">
        <f>"2170759278"</f>
        <v>2170759278</v>
      </c>
      <c r="F3830" s="2" t="s">
        <v>17</v>
      </c>
      <c r="G3830" s="2" t="s">
        <v>18</v>
      </c>
      <c r="H3830" s="2" t="s">
        <v>78</v>
      </c>
      <c r="I3830" s="2" t="s">
        <v>79</v>
      </c>
      <c r="J3830" s="2" t="s">
        <v>449</v>
      </c>
      <c r="K3830" s="2" t="s">
        <v>2384</v>
      </c>
      <c r="L3830" s="3">
        <v>0.40625</v>
      </c>
      <c r="M3830" s="2" t="s">
        <v>2457</v>
      </c>
      <c r="N3830" s="2" t="s">
        <v>500</v>
      </c>
      <c r="O3830" s="2"/>
    </row>
    <row r="3831" spans="1:15" x14ac:dyDescent="0.25">
      <c r="A3831" s="2" t="s">
        <v>15</v>
      </c>
      <c r="B3831" s="2" t="str">
        <f>"FES1162772446"</f>
        <v>FES1162772446</v>
      </c>
      <c r="C3831" s="2" t="s">
        <v>2356</v>
      </c>
      <c r="D3831" s="2">
        <v>1</v>
      </c>
      <c r="E3831" s="2" t="str">
        <f>"2170759330"</f>
        <v>2170759330</v>
      </c>
      <c r="F3831" s="2" t="s">
        <v>17</v>
      </c>
      <c r="G3831" s="2" t="s">
        <v>18</v>
      </c>
      <c r="H3831" s="2" t="s">
        <v>25</v>
      </c>
      <c r="I3831" s="2" t="s">
        <v>26</v>
      </c>
      <c r="J3831" s="2" t="s">
        <v>353</v>
      </c>
      <c r="K3831" s="2" t="s">
        <v>2384</v>
      </c>
      <c r="L3831" s="3">
        <v>0.41666666666666669</v>
      </c>
      <c r="M3831" s="2" t="s">
        <v>1360</v>
      </c>
      <c r="N3831" s="2" t="s">
        <v>500</v>
      </c>
      <c r="O3831" s="2"/>
    </row>
    <row r="3832" spans="1:15" x14ac:dyDescent="0.25">
      <c r="A3832" s="2" t="s">
        <v>15</v>
      </c>
      <c r="B3832" s="2" t="str">
        <f>"FES1162772466"</f>
        <v>FES1162772466</v>
      </c>
      <c r="C3832" s="2" t="s">
        <v>2356</v>
      </c>
      <c r="D3832" s="2">
        <v>1</v>
      </c>
      <c r="E3832" s="2" t="str">
        <f>"2170759360"</f>
        <v>2170759360</v>
      </c>
      <c r="F3832" s="2" t="s">
        <v>17</v>
      </c>
      <c r="G3832" s="2" t="s">
        <v>18</v>
      </c>
      <c r="H3832" s="2" t="s">
        <v>25</v>
      </c>
      <c r="I3832" s="2" t="s">
        <v>26</v>
      </c>
      <c r="J3832" s="2" t="s">
        <v>1716</v>
      </c>
      <c r="K3832" s="2" t="s">
        <v>2384</v>
      </c>
      <c r="L3832" s="3">
        <v>0.36805555555555558</v>
      </c>
      <c r="M3832" s="2" t="s">
        <v>2458</v>
      </c>
      <c r="N3832" s="2" t="s">
        <v>500</v>
      </c>
      <c r="O3832" s="2"/>
    </row>
    <row r="3833" spans="1:15" x14ac:dyDescent="0.25">
      <c r="A3833" s="2" t="s">
        <v>15</v>
      </c>
      <c r="B3833" s="2" t="str">
        <f>"FES1162772476"</f>
        <v>FES1162772476</v>
      </c>
      <c r="C3833" s="2" t="s">
        <v>2356</v>
      </c>
      <c r="D3833" s="2">
        <v>1</v>
      </c>
      <c r="E3833" s="2" t="str">
        <f>"2170758520"</f>
        <v>2170758520</v>
      </c>
      <c r="F3833" s="2" t="s">
        <v>17</v>
      </c>
      <c r="G3833" s="2" t="s">
        <v>18</v>
      </c>
      <c r="H3833" s="2" t="s">
        <v>25</v>
      </c>
      <c r="I3833" s="2" t="s">
        <v>26</v>
      </c>
      <c r="J3833" s="2" t="s">
        <v>474</v>
      </c>
      <c r="K3833" s="2" t="s">
        <v>2384</v>
      </c>
      <c r="L3833" s="3">
        <v>0.41666666666666669</v>
      </c>
      <c r="M3833" s="2" t="s">
        <v>1060</v>
      </c>
      <c r="N3833" s="2" t="s">
        <v>500</v>
      </c>
      <c r="O3833" s="2"/>
    </row>
    <row r="3834" spans="1:15" x14ac:dyDescent="0.25">
      <c r="A3834" s="2" t="s">
        <v>15</v>
      </c>
      <c r="B3834" s="2" t="str">
        <f>"FES1162772480"</f>
        <v>FES1162772480</v>
      </c>
      <c r="C3834" s="2" t="s">
        <v>2356</v>
      </c>
      <c r="D3834" s="2">
        <v>1</v>
      </c>
      <c r="E3834" s="2" t="str">
        <f>"2170758737"</f>
        <v>2170758737</v>
      </c>
      <c r="F3834" s="2" t="s">
        <v>17</v>
      </c>
      <c r="G3834" s="2" t="s">
        <v>18</v>
      </c>
      <c r="H3834" s="2" t="s">
        <v>25</v>
      </c>
      <c r="I3834" s="2" t="s">
        <v>26</v>
      </c>
      <c r="J3834" s="2" t="s">
        <v>75</v>
      </c>
      <c r="K3834" s="2" t="s">
        <v>2384</v>
      </c>
      <c r="L3834" s="3">
        <v>0.35833333333333334</v>
      </c>
      <c r="M3834" s="2" t="s">
        <v>677</v>
      </c>
      <c r="N3834" s="2" t="s">
        <v>500</v>
      </c>
      <c r="O3834" s="2"/>
    </row>
    <row r="3835" spans="1:15" x14ac:dyDescent="0.25">
      <c r="A3835" s="2" t="s">
        <v>15</v>
      </c>
      <c r="B3835" s="2" t="str">
        <f>"FES1162772463"</f>
        <v>FES1162772463</v>
      </c>
      <c r="C3835" s="2" t="s">
        <v>2356</v>
      </c>
      <c r="D3835" s="2">
        <v>1</v>
      </c>
      <c r="E3835" s="2" t="str">
        <f>"2170759265"</f>
        <v>2170759265</v>
      </c>
      <c r="F3835" s="2" t="s">
        <v>17</v>
      </c>
      <c r="G3835" s="2" t="s">
        <v>18</v>
      </c>
      <c r="H3835" s="2" t="s">
        <v>25</v>
      </c>
      <c r="I3835" s="2" t="s">
        <v>42</v>
      </c>
      <c r="J3835" s="2" t="s">
        <v>43</v>
      </c>
      <c r="K3835" s="2" t="s">
        <v>2384</v>
      </c>
      <c r="L3835" s="3">
        <v>0.6430555555555556</v>
      </c>
      <c r="M3835" s="2" t="s">
        <v>180</v>
      </c>
      <c r="N3835" s="2" t="s">
        <v>500</v>
      </c>
      <c r="O3835" s="2"/>
    </row>
    <row r="3836" spans="1:15" x14ac:dyDescent="0.25">
      <c r="A3836" s="2" t="s">
        <v>15</v>
      </c>
      <c r="B3836" s="2" t="str">
        <f>"FES1162772440"</f>
        <v>FES1162772440</v>
      </c>
      <c r="C3836" s="2" t="s">
        <v>2356</v>
      </c>
      <c r="D3836" s="2">
        <v>1</v>
      </c>
      <c r="E3836" s="2" t="str">
        <f>"2170759324"</f>
        <v>2170759324</v>
      </c>
      <c r="F3836" s="2" t="s">
        <v>17</v>
      </c>
      <c r="G3836" s="2" t="s">
        <v>18</v>
      </c>
      <c r="H3836" s="2" t="s">
        <v>25</v>
      </c>
      <c r="I3836" s="2" t="s">
        <v>26</v>
      </c>
      <c r="J3836" s="2" t="s">
        <v>28</v>
      </c>
      <c r="K3836" s="2" t="s">
        <v>2384</v>
      </c>
      <c r="L3836" s="3">
        <v>0.33402777777777781</v>
      </c>
      <c r="M3836" s="2" t="s">
        <v>172</v>
      </c>
      <c r="N3836" s="2" t="s">
        <v>500</v>
      </c>
      <c r="O3836" s="2"/>
    </row>
    <row r="3837" spans="1:15" x14ac:dyDescent="0.25">
      <c r="A3837" s="2" t="s">
        <v>15</v>
      </c>
      <c r="B3837" s="2" t="str">
        <f>"FES1162772450"</f>
        <v>FES1162772450</v>
      </c>
      <c r="C3837" s="2" t="s">
        <v>2356</v>
      </c>
      <c r="D3837" s="2">
        <v>1</v>
      </c>
      <c r="E3837" s="2" t="str">
        <f>"2170759338"</f>
        <v>2170759338</v>
      </c>
      <c r="F3837" s="2" t="s">
        <v>17</v>
      </c>
      <c r="G3837" s="2" t="s">
        <v>18</v>
      </c>
      <c r="H3837" s="2" t="s">
        <v>19</v>
      </c>
      <c r="I3837" s="2" t="s">
        <v>20</v>
      </c>
      <c r="J3837" s="2" t="s">
        <v>359</v>
      </c>
      <c r="K3837" s="2" t="s">
        <v>2384</v>
      </c>
      <c r="L3837" s="3">
        <v>0.5180555555555556</v>
      </c>
      <c r="M3837" s="2" t="s">
        <v>2184</v>
      </c>
      <c r="N3837" s="2" t="s">
        <v>500</v>
      </c>
      <c r="O3837" s="2"/>
    </row>
    <row r="3838" spans="1:15" x14ac:dyDescent="0.25">
      <c r="A3838" s="2" t="s">
        <v>15</v>
      </c>
      <c r="B3838" s="2" t="str">
        <f>"FES1162772449"</f>
        <v>FES1162772449</v>
      </c>
      <c r="C3838" s="2" t="s">
        <v>2356</v>
      </c>
      <c r="D3838" s="2">
        <v>1</v>
      </c>
      <c r="E3838" s="2" t="str">
        <f>"2170759337"</f>
        <v>2170759337</v>
      </c>
      <c r="F3838" s="2" t="s">
        <v>17</v>
      </c>
      <c r="G3838" s="2" t="s">
        <v>18</v>
      </c>
      <c r="H3838" s="2" t="s">
        <v>18</v>
      </c>
      <c r="I3838" s="2" t="s">
        <v>46</v>
      </c>
      <c r="J3838" s="2" t="s">
        <v>1709</v>
      </c>
      <c r="K3838" s="2" t="s">
        <v>2384</v>
      </c>
      <c r="L3838" s="3">
        <v>0.31597222222222221</v>
      </c>
      <c r="M3838" s="2" t="s">
        <v>2425</v>
      </c>
      <c r="N3838" s="2" t="s">
        <v>500</v>
      </c>
      <c r="O3838" s="2"/>
    </row>
    <row r="3839" spans="1:15" x14ac:dyDescent="0.25">
      <c r="A3839" s="2" t="s">
        <v>15</v>
      </c>
      <c r="B3839" s="2" t="str">
        <f>"FES1162772455"</f>
        <v>FES1162772455</v>
      </c>
      <c r="C3839" s="2" t="s">
        <v>2356</v>
      </c>
      <c r="D3839" s="2">
        <v>1</v>
      </c>
      <c r="E3839" s="2" t="str">
        <f>"2170759345"</f>
        <v>2170759345</v>
      </c>
      <c r="F3839" s="2" t="s">
        <v>17</v>
      </c>
      <c r="G3839" s="2" t="s">
        <v>18</v>
      </c>
      <c r="H3839" s="2" t="s">
        <v>19</v>
      </c>
      <c r="I3839" s="2" t="s">
        <v>111</v>
      </c>
      <c r="J3839" s="2" t="s">
        <v>385</v>
      </c>
      <c r="K3839" s="2" t="s">
        <v>2384</v>
      </c>
      <c r="L3839" s="3">
        <v>0.60555555555555551</v>
      </c>
      <c r="M3839" s="2" t="s">
        <v>1566</v>
      </c>
      <c r="N3839" s="2" t="s">
        <v>500</v>
      </c>
      <c r="O3839" s="2"/>
    </row>
    <row r="3840" spans="1:15" x14ac:dyDescent="0.25">
      <c r="A3840" s="2" t="s">
        <v>15</v>
      </c>
      <c r="B3840" s="2" t="str">
        <f>"FES1162772452"</f>
        <v>FES1162772452</v>
      </c>
      <c r="C3840" s="2" t="s">
        <v>2356</v>
      </c>
      <c r="D3840" s="2">
        <v>1</v>
      </c>
      <c r="E3840" s="2" t="str">
        <f>"2170759339"</f>
        <v>2170759339</v>
      </c>
      <c r="F3840" s="2" t="s">
        <v>17</v>
      </c>
      <c r="G3840" s="2" t="s">
        <v>18</v>
      </c>
      <c r="H3840" s="2" t="s">
        <v>18</v>
      </c>
      <c r="I3840" s="2" t="s">
        <v>46</v>
      </c>
      <c r="J3840" s="2" t="s">
        <v>1709</v>
      </c>
      <c r="K3840" s="2" t="s">
        <v>2384</v>
      </c>
      <c r="L3840" s="3">
        <v>0.31597222222222221</v>
      </c>
      <c r="M3840" s="2" t="s">
        <v>2425</v>
      </c>
      <c r="N3840" s="2" t="s">
        <v>500</v>
      </c>
      <c r="O3840" s="2"/>
    </row>
    <row r="3841" spans="1:15" x14ac:dyDescent="0.25">
      <c r="A3841" s="2" t="s">
        <v>15</v>
      </c>
      <c r="B3841" s="2" t="str">
        <f>"FES1162772406"</f>
        <v>FES1162772406</v>
      </c>
      <c r="C3841" s="2" t="s">
        <v>2356</v>
      </c>
      <c r="D3841" s="2">
        <v>1</v>
      </c>
      <c r="E3841" s="2" t="str">
        <f>"2170759272"</f>
        <v>2170759272</v>
      </c>
      <c r="F3841" s="2" t="s">
        <v>17</v>
      </c>
      <c r="G3841" s="2" t="s">
        <v>18</v>
      </c>
      <c r="H3841" s="2" t="s">
        <v>78</v>
      </c>
      <c r="I3841" s="2" t="s">
        <v>79</v>
      </c>
      <c r="J3841" s="2" t="s">
        <v>2426</v>
      </c>
      <c r="K3841" s="2" t="s">
        <v>2384</v>
      </c>
      <c r="L3841" s="3">
        <v>0.38541666666666669</v>
      </c>
      <c r="M3841" s="2" t="s">
        <v>2459</v>
      </c>
      <c r="N3841" s="2" t="s">
        <v>500</v>
      </c>
      <c r="O3841" s="2"/>
    </row>
    <row r="3842" spans="1:15" x14ac:dyDescent="0.25">
      <c r="A3842" s="2" t="s">
        <v>15</v>
      </c>
      <c r="B3842" s="2" t="str">
        <f>"FES1162772411"</f>
        <v>FES1162772411</v>
      </c>
      <c r="C3842" s="2" t="s">
        <v>2356</v>
      </c>
      <c r="D3842" s="2">
        <v>1</v>
      </c>
      <c r="E3842" s="2" t="str">
        <f>"2170759282"</f>
        <v>2170759282</v>
      </c>
      <c r="F3842" s="2" t="s">
        <v>17</v>
      </c>
      <c r="G3842" s="2" t="s">
        <v>18</v>
      </c>
      <c r="H3842" s="2" t="s">
        <v>78</v>
      </c>
      <c r="I3842" s="2" t="s">
        <v>79</v>
      </c>
      <c r="J3842" s="2" t="s">
        <v>81</v>
      </c>
      <c r="K3842" s="2" t="s">
        <v>2384</v>
      </c>
      <c r="L3842" s="3">
        <v>0.34861111111111115</v>
      </c>
      <c r="M3842" s="2" t="s">
        <v>991</v>
      </c>
      <c r="N3842" s="2" t="s">
        <v>500</v>
      </c>
      <c r="O3842" s="2"/>
    </row>
    <row r="3843" spans="1:15" x14ac:dyDescent="0.25">
      <c r="A3843" s="2" t="s">
        <v>15</v>
      </c>
      <c r="B3843" s="2" t="str">
        <f>"FES1162772451"</f>
        <v>FES1162772451</v>
      </c>
      <c r="C3843" s="2" t="s">
        <v>2356</v>
      </c>
      <c r="D3843" s="2">
        <v>1</v>
      </c>
      <c r="E3843" s="2" t="str">
        <f>"2170758960"</f>
        <v>2170758960</v>
      </c>
      <c r="F3843" s="2" t="s">
        <v>17</v>
      </c>
      <c r="G3843" s="2" t="s">
        <v>18</v>
      </c>
      <c r="H3843" s="2" t="s">
        <v>18</v>
      </c>
      <c r="I3843" s="2" t="s">
        <v>107</v>
      </c>
      <c r="J3843" s="2" t="s">
        <v>2427</v>
      </c>
      <c r="K3843" s="2" t="s">
        <v>2384</v>
      </c>
      <c r="L3843" s="3">
        <v>0.375</v>
      </c>
      <c r="M3843" s="2" t="s">
        <v>2460</v>
      </c>
      <c r="N3843" s="2" t="s">
        <v>500</v>
      </c>
      <c r="O3843" s="2"/>
    </row>
    <row r="3844" spans="1:15" x14ac:dyDescent="0.25">
      <c r="A3844" s="2" t="s">
        <v>15</v>
      </c>
      <c r="B3844" s="2" t="str">
        <f>"FES1162772386"</f>
        <v>FES1162772386</v>
      </c>
      <c r="C3844" s="2" t="s">
        <v>2356</v>
      </c>
      <c r="D3844" s="2">
        <v>1</v>
      </c>
      <c r="E3844" s="2" t="str">
        <f>"2170759250"</f>
        <v>2170759250</v>
      </c>
      <c r="F3844" s="2" t="s">
        <v>17</v>
      </c>
      <c r="G3844" s="2" t="s">
        <v>18</v>
      </c>
      <c r="H3844" s="2" t="s">
        <v>18</v>
      </c>
      <c r="I3844" s="2" t="s">
        <v>57</v>
      </c>
      <c r="J3844" s="2" t="s">
        <v>92</v>
      </c>
      <c r="K3844" s="2" t="s">
        <v>2384</v>
      </c>
      <c r="L3844" s="3">
        <v>0.30069444444444443</v>
      </c>
      <c r="M3844" s="2" t="s">
        <v>2333</v>
      </c>
      <c r="N3844" s="2" t="s">
        <v>500</v>
      </c>
      <c r="O3844" s="2"/>
    </row>
    <row r="3845" spans="1:15" x14ac:dyDescent="0.25">
      <c r="A3845" s="2" t="s">
        <v>15</v>
      </c>
      <c r="B3845" s="2" t="str">
        <f>"FES1162772393"</f>
        <v>FES1162772393</v>
      </c>
      <c r="C3845" s="2" t="s">
        <v>2356</v>
      </c>
      <c r="D3845" s="2">
        <v>1</v>
      </c>
      <c r="E3845" s="2" t="str">
        <f>"2170759259"</f>
        <v>2170759259</v>
      </c>
      <c r="F3845" s="2" t="s">
        <v>17</v>
      </c>
      <c r="G3845" s="2" t="s">
        <v>18</v>
      </c>
      <c r="H3845" s="2" t="s">
        <v>1433</v>
      </c>
      <c r="I3845" s="2" t="s">
        <v>1434</v>
      </c>
      <c r="J3845" s="2" t="s">
        <v>2154</v>
      </c>
      <c r="K3845" s="2" t="s">
        <v>2490</v>
      </c>
      <c r="L3845" s="3">
        <v>0.37083333333333335</v>
      </c>
      <c r="M3845" s="2" t="s">
        <v>406</v>
      </c>
      <c r="N3845" s="2" t="s">
        <v>500</v>
      </c>
      <c r="O3845" s="2"/>
    </row>
    <row r="3846" spans="1:15" x14ac:dyDescent="0.25">
      <c r="A3846" s="2" t="s">
        <v>15</v>
      </c>
      <c r="B3846" s="2" t="str">
        <f>"FES1162772385"</f>
        <v>FES1162772385</v>
      </c>
      <c r="C3846" s="2" t="s">
        <v>2356</v>
      </c>
      <c r="D3846" s="2">
        <v>1</v>
      </c>
      <c r="E3846" s="2" t="str">
        <f>"2170759248"</f>
        <v>2170759248</v>
      </c>
      <c r="F3846" s="2" t="s">
        <v>17</v>
      </c>
      <c r="G3846" s="2" t="s">
        <v>18</v>
      </c>
      <c r="H3846" s="2" t="s">
        <v>18</v>
      </c>
      <c r="I3846" s="2" t="s">
        <v>116</v>
      </c>
      <c r="J3846" s="2" t="s">
        <v>493</v>
      </c>
      <c r="K3846" s="2" t="s">
        <v>2384</v>
      </c>
      <c r="L3846" s="3">
        <v>0.4375</v>
      </c>
      <c r="M3846" s="2" t="s">
        <v>2461</v>
      </c>
      <c r="N3846" s="2" t="s">
        <v>500</v>
      </c>
      <c r="O3846" s="2"/>
    </row>
    <row r="3847" spans="1:15" x14ac:dyDescent="0.25">
      <c r="A3847" s="2" t="s">
        <v>15</v>
      </c>
      <c r="B3847" s="2" t="str">
        <f>"FES1162772527"</f>
        <v>FES1162772527</v>
      </c>
      <c r="C3847" s="2" t="s">
        <v>2356</v>
      </c>
      <c r="D3847" s="2">
        <v>1</v>
      </c>
      <c r="E3847" s="2" t="str">
        <f>"2170759358"</f>
        <v>2170759358</v>
      </c>
      <c r="F3847" s="2" t="s">
        <v>17</v>
      </c>
      <c r="G3847" s="2" t="s">
        <v>18</v>
      </c>
      <c r="H3847" s="2" t="s">
        <v>33</v>
      </c>
      <c r="I3847" s="2" t="s">
        <v>34</v>
      </c>
      <c r="J3847" s="2" t="s">
        <v>868</v>
      </c>
      <c r="K3847" s="2" t="s">
        <v>2384</v>
      </c>
      <c r="L3847" s="3">
        <v>0.36736111111111108</v>
      </c>
      <c r="M3847" s="2" t="s">
        <v>941</v>
      </c>
      <c r="N3847" s="2" t="s">
        <v>500</v>
      </c>
      <c r="O3847" s="2"/>
    </row>
    <row r="3848" spans="1:15" x14ac:dyDescent="0.25">
      <c r="A3848" s="2" t="s">
        <v>15</v>
      </c>
      <c r="B3848" s="2" t="str">
        <f>"FES1162772418"</f>
        <v>FES1162772418</v>
      </c>
      <c r="C3848" s="2" t="s">
        <v>2356</v>
      </c>
      <c r="D3848" s="2">
        <v>1</v>
      </c>
      <c r="E3848" s="2" t="str">
        <f>"2170759294"</f>
        <v>2170759294</v>
      </c>
      <c r="F3848" s="2" t="s">
        <v>17</v>
      </c>
      <c r="G3848" s="2" t="s">
        <v>18</v>
      </c>
      <c r="H3848" s="2" t="s">
        <v>88</v>
      </c>
      <c r="I3848" s="2" t="s">
        <v>109</v>
      </c>
      <c r="J3848" s="2" t="s">
        <v>2428</v>
      </c>
      <c r="K3848" s="2" t="s">
        <v>2384</v>
      </c>
      <c r="L3848" s="3">
        <v>0.4375</v>
      </c>
      <c r="M3848" s="2" t="s">
        <v>2462</v>
      </c>
      <c r="N3848" s="2" t="s">
        <v>500</v>
      </c>
      <c r="O3848" s="2"/>
    </row>
    <row r="3849" spans="1:15" x14ac:dyDescent="0.25">
      <c r="A3849" s="2" t="s">
        <v>15</v>
      </c>
      <c r="B3849" s="2" t="str">
        <f>"FES1162772489"</f>
        <v>FES1162772489</v>
      </c>
      <c r="C3849" s="2" t="s">
        <v>2356</v>
      </c>
      <c r="D3849" s="2">
        <v>1</v>
      </c>
      <c r="E3849" s="2" t="str">
        <f>"2170759228"</f>
        <v>2170759228</v>
      </c>
      <c r="F3849" s="2" t="s">
        <v>17</v>
      </c>
      <c r="G3849" s="2" t="s">
        <v>18</v>
      </c>
      <c r="H3849" s="2" t="s">
        <v>36</v>
      </c>
      <c r="I3849" s="2" t="s">
        <v>37</v>
      </c>
      <c r="J3849" s="2" t="s">
        <v>403</v>
      </c>
      <c r="K3849" s="2" t="s">
        <v>2384</v>
      </c>
      <c r="L3849" s="3">
        <v>0.55277777777777781</v>
      </c>
      <c r="M3849" s="2" t="s">
        <v>2463</v>
      </c>
      <c r="N3849" s="2" t="s">
        <v>500</v>
      </c>
      <c r="O3849" s="2"/>
    </row>
    <row r="3850" spans="1:15" x14ac:dyDescent="0.25">
      <c r="A3850" s="2" t="s">
        <v>15</v>
      </c>
      <c r="B3850" s="2" t="str">
        <f>"FES1162772470"</f>
        <v>FES1162772470</v>
      </c>
      <c r="C3850" s="2" t="s">
        <v>2356</v>
      </c>
      <c r="D3850" s="2">
        <v>1</v>
      </c>
      <c r="E3850" s="2" t="str">
        <f>"2170755759"</f>
        <v>2170755759</v>
      </c>
      <c r="F3850" s="2" t="s">
        <v>17</v>
      </c>
      <c r="G3850" s="2" t="s">
        <v>18</v>
      </c>
      <c r="H3850" s="2" t="s">
        <v>36</v>
      </c>
      <c r="I3850" s="2" t="s">
        <v>37</v>
      </c>
      <c r="J3850" s="2" t="s">
        <v>403</v>
      </c>
      <c r="K3850" s="2" t="s">
        <v>2384</v>
      </c>
      <c r="L3850" s="3">
        <v>0.42708333333333331</v>
      </c>
      <c r="M3850" s="2" t="s">
        <v>2463</v>
      </c>
      <c r="N3850" s="2" t="s">
        <v>500</v>
      </c>
      <c r="O3850" s="2"/>
    </row>
    <row r="3851" spans="1:15" x14ac:dyDescent="0.25">
      <c r="A3851" s="2" t="s">
        <v>15</v>
      </c>
      <c r="B3851" s="2" t="str">
        <f>"FES1162772473"</f>
        <v>FES1162772473</v>
      </c>
      <c r="C3851" s="2" t="s">
        <v>2356</v>
      </c>
      <c r="D3851" s="2">
        <v>1</v>
      </c>
      <c r="E3851" s="2" t="str">
        <f>"2170758201"</f>
        <v>2170758201</v>
      </c>
      <c r="F3851" s="2" t="s">
        <v>17</v>
      </c>
      <c r="G3851" s="2" t="s">
        <v>18</v>
      </c>
      <c r="H3851" s="2" t="s">
        <v>33</v>
      </c>
      <c r="I3851" s="2" t="s">
        <v>34</v>
      </c>
      <c r="J3851" s="2" t="s">
        <v>868</v>
      </c>
      <c r="K3851" s="2" t="s">
        <v>2384</v>
      </c>
      <c r="L3851" s="3">
        <v>0.36736111111111108</v>
      </c>
      <c r="M3851" s="2" t="s">
        <v>941</v>
      </c>
      <c r="N3851" s="2" t="s">
        <v>500</v>
      </c>
      <c r="O3851" s="2"/>
    </row>
    <row r="3852" spans="1:15" x14ac:dyDescent="0.25">
      <c r="A3852" s="2" t="s">
        <v>15</v>
      </c>
      <c r="B3852" s="2" t="str">
        <f>"FES1162772421"</f>
        <v>FES1162772421</v>
      </c>
      <c r="C3852" s="2" t="s">
        <v>2356</v>
      </c>
      <c r="D3852" s="2">
        <v>1</v>
      </c>
      <c r="E3852" s="2" t="str">
        <f>"2170759299"</f>
        <v>2170759299</v>
      </c>
      <c r="F3852" s="2" t="s">
        <v>17</v>
      </c>
      <c r="G3852" s="2" t="s">
        <v>18</v>
      </c>
      <c r="H3852" s="2" t="s">
        <v>33</v>
      </c>
      <c r="I3852" s="2" t="s">
        <v>34</v>
      </c>
      <c r="J3852" s="2" t="s">
        <v>371</v>
      </c>
      <c r="K3852" s="2" t="s">
        <v>2384</v>
      </c>
      <c r="L3852" s="3">
        <v>0.43333333333333335</v>
      </c>
      <c r="M3852" s="2" t="s">
        <v>2464</v>
      </c>
      <c r="N3852" s="2" t="s">
        <v>500</v>
      </c>
      <c r="O3852" s="2"/>
    </row>
    <row r="3853" spans="1:15" x14ac:dyDescent="0.25">
      <c r="A3853" s="2" t="s">
        <v>15</v>
      </c>
      <c r="B3853" s="2" t="str">
        <f>"FES1162772458"</f>
        <v>FES1162772458</v>
      </c>
      <c r="C3853" s="2" t="s">
        <v>2356</v>
      </c>
      <c r="D3853" s="2">
        <v>1</v>
      </c>
      <c r="E3853" s="2" t="str">
        <f>"2170759349"</f>
        <v>2170759349</v>
      </c>
      <c r="F3853" s="2" t="s">
        <v>17</v>
      </c>
      <c r="G3853" s="2" t="s">
        <v>18</v>
      </c>
      <c r="H3853" s="2" t="s">
        <v>36</v>
      </c>
      <c r="I3853" s="2" t="s">
        <v>37</v>
      </c>
      <c r="J3853" s="2" t="s">
        <v>55</v>
      </c>
      <c r="K3853" s="2" t="s">
        <v>2384</v>
      </c>
      <c r="L3853" s="3">
        <v>0.36805555555555558</v>
      </c>
      <c r="M3853" s="2" t="s">
        <v>2465</v>
      </c>
      <c r="N3853" s="2" t="s">
        <v>500</v>
      </c>
      <c r="O3853" s="2"/>
    </row>
    <row r="3854" spans="1:15" x14ac:dyDescent="0.25">
      <c r="A3854" s="2" t="s">
        <v>15</v>
      </c>
      <c r="B3854" s="2" t="str">
        <f>"FES1162772409"</f>
        <v>FES1162772409</v>
      </c>
      <c r="C3854" s="2" t="s">
        <v>2356</v>
      </c>
      <c r="D3854" s="2">
        <v>1</v>
      </c>
      <c r="E3854" s="2" t="str">
        <f>"2170759280"</f>
        <v>2170759280</v>
      </c>
      <c r="F3854" s="2" t="s">
        <v>17</v>
      </c>
      <c r="G3854" s="2" t="s">
        <v>18</v>
      </c>
      <c r="H3854" s="2" t="s">
        <v>36</v>
      </c>
      <c r="I3854" s="2" t="s">
        <v>134</v>
      </c>
      <c r="J3854" s="2" t="s">
        <v>135</v>
      </c>
      <c r="K3854" s="2" t="s">
        <v>2490</v>
      </c>
      <c r="L3854" s="3">
        <v>0.56736111111111109</v>
      </c>
      <c r="M3854" s="2" t="s">
        <v>744</v>
      </c>
      <c r="N3854" s="2" t="s">
        <v>500</v>
      </c>
      <c r="O3854" s="2"/>
    </row>
    <row r="3855" spans="1:15" x14ac:dyDescent="0.25">
      <c r="A3855" s="2" t="s">
        <v>15</v>
      </c>
      <c r="B3855" s="2" t="str">
        <f>"FES1162772104"</f>
        <v>FES1162772104</v>
      </c>
      <c r="C3855" s="2" t="s">
        <v>2356</v>
      </c>
      <c r="D3855" s="2">
        <v>1</v>
      </c>
      <c r="E3855" s="2" t="str">
        <f>"2170758563"</f>
        <v>2170758563</v>
      </c>
      <c r="F3855" s="2" t="s">
        <v>17</v>
      </c>
      <c r="G3855" s="2" t="s">
        <v>18</v>
      </c>
      <c r="H3855" s="2" t="s">
        <v>25</v>
      </c>
      <c r="I3855" s="2" t="s">
        <v>39</v>
      </c>
      <c r="J3855" s="2" t="s">
        <v>161</v>
      </c>
      <c r="K3855" s="2" t="s">
        <v>2384</v>
      </c>
      <c r="L3855" s="3">
        <v>0.41666666666666669</v>
      </c>
      <c r="M3855" s="2" t="s">
        <v>2466</v>
      </c>
      <c r="N3855" s="2" t="s">
        <v>500</v>
      </c>
      <c r="O3855" s="2"/>
    </row>
    <row r="3856" spans="1:15" x14ac:dyDescent="0.25">
      <c r="A3856" s="2" t="s">
        <v>15</v>
      </c>
      <c r="B3856" s="2" t="str">
        <f>"FES1162772494"</f>
        <v>FES1162772494</v>
      </c>
      <c r="C3856" s="2" t="s">
        <v>2356</v>
      </c>
      <c r="D3856" s="2">
        <v>1</v>
      </c>
      <c r="E3856" s="2" t="str">
        <f>"2170759365"</f>
        <v>2170759365</v>
      </c>
      <c r="F3856" s="2" t="s">
        <v>17</v>
      </c>
      <c r="G3856" s="2" t="s">
        <v>18</v>
      </c>
      <c r="H3856" s="2" t="s">
        <v>36</v>
      </c>
      <c r="I3856" s="2" t="s">
        <v>37</v>
      </c>
      <c r="J3856" s="2" t="s">
        <v>376</v>
      </c>
      <c r="K3856" s="2" t="s">
        <v>2384</v>
      </c>
      <c r="L3856" s="3">
        <v>0.4201388888888889</v>
      </c>
      <c r="M3856" s="2" t="s">
        <v>2467</v>
      </c>
      <c r="N3856" s="2" t="s">
        <v>500</v>
      </c>
      <c r="O3856" s="2"/>
    </row>
    <row r="3857" spans="1:15" x14ac:dyDescent="0.25">
      <c r="A3857" s="2" t="s">
        <v>15</v>
      </c>
      <c r="B3857" s="2" t="str">
        <f>"FES1162772475"</f>
        <v>FES1162772475</v>
      </c>
      <c r="C3857" s="2" t="s">
        <v>2356</v>
      </c>
      <c r="D3857" s="2">
        <v>1</v>
      </c>
      <c r="E3857" s="2" t="str">
        <f>"2170758457"</f>
        <v>2170758457</v>
      </c>
      <c r="F3857" s="2" t="s">
        <v>17</v>
      </c>
      <c r="G3857" s="2" t="s">
        <v>18</v>
      </c>
      <c r="H3857" s="2" t="s">
        <v>36</v>
      </c>
      <c r="I3857" s="2" t="s">
        <v>37</v>
      </c>
      <c r="J3857" s="2" t="s">
        <v>55</v>
      </c>
      <c r="K3857" s="2" t="s">
        <v>2384</v>
      </c>
      <c r="L3857" s="3">
        <v>0.36805555555555558</v>
      </c>
      <c r="M3857" s="2" t="s">
        <v>2465</v>
      </c>
      <c r="N3857" s="2" t="s">
        <v>500</v>
      </c>
      <c r="O3857" s="2"/>
    </row>
    <row r="3858" spans="1:15" x14ac:dyDescent="0.25">
      <c r="A3858" s="2" t="s">
        <v>15</v>
      </c>
      <c r="B3858" s="2" t="str">
        <f>"FES1162772434"</f>
        <v>FES1162772434</v>
      </c>
      <c r="C3858" s="2" t="s">
        <v>2356</v>
      </c>
      <c r="D3858" s="2">
        <v>1</v>
      </c>
      <c r="E3858" s="2" t="str">
        <f>"2170757659"</f>
        <v>2170757659</v>
      </c>
      <c r="F3858" s="2" t="s">
        <v>17</v>
      </c>
      <c r="G3858" s="2" t="s">
        <v>18</v>
      </c>
      <c r="H3858" s="2" t="s">
        <v>363</v>
      </c>
      <c r="I3858" s="2" t="s">
        <v>1439</v>
      </c>
      <c r="J3858" s="2" t="s">
        <v>1440</v>
      </c>
      <c r="K3858" s="2" t="s">
        <v>2384</v>
      </c>
      <c r="L3858" s="3">
        <v>0.39583333333333331</v>
      </c>
      <c r="M3858" s="2" t="s">
        <v>1547</v>
      </c>
      <c r="N3858" s="2" t="s">
        <v>500</v>
      </c>
      <c r="O3858" s="2"/>
    </row>
    <row r="3859" spans="1:15" x14ac:dyDescent="0.25">
      <c r="A3859" s="2" t="s">
        <v>15</v>
      </c>
      <c r="B3859" s="2" t="str">
        <f>"FES1162772537"</f>
        <v>FES1162772537</v>
      </c>
      <c r="C3859" s="2" t="s">
        <v>2356</v>
      </c>
      <c r="D3859" s="2">
        <v>1</v>
      </c>
      <c r="E3859" s="2" t="str">
        <f>"2170759420"</f>
        <v>2170759420</v>
      </c>
      <c r="F3859" s="2" t="s">
        <v>17</v>
      </c>
      <c r="G3859" s="2" t="s">
        <v>18</v>
      </c>
      <c r="H3859" s="2" t="s">
        <v>19</v>
      </c>
      <c r="I3859" s="2" t="s">
        <v>20</v>
      </c>
      <c r="J3859" s="2" t="s">
        <v>482</v>
      </c>
      <c r="K3859" s="2" t="s">
        <v>2384</v>
      </c>
      <c r="L3859" s="3">
        <v>0.3666666666666667</v>
      </c>
      <c r="M3859" s="2" t="s">
        <v>2468</v>
      </c>
      <c r="N3859" s="2" t="s">
        <v>500</v>
      </c>
      <c r="O3859" s="2"/>
    </row>
    <row r="3860" spans="1:15" x14ac:dyDescent="0.25">
      <c r="A3860" s="2" t="s">
        <v>15</v>
      </c>
      <c r="B3860" s="2" t="str">
        <f>"FES1162772542"</f>
        <v>FES1162772542</v>
      </c>
      <c r="C3860" s="2" t="s">
        <v>2356</v>
      </c>
      <c r="D3860" s="2">
        <v>1</v>
      </c>
      <c r="E3860" s="2" t="str">
        <f>"2170759430"</f>
        <v>2170759430</v>
      </c>
      <c r="F3860" s="2" t="s">
        <v>17</v>
      </c>
      <c r="G3860" s="2" t="s">
        <v>18</v>
      </c>
      <c r="H3860" s="2" t="s">
        <v>36</v>
      </c>
      <c r="I3860" s="2" t="s">
        <v>37</v>
      </c>
      <c r="J3860" s="2" t="s">
        <v>462</v>
      </c>
      <c r="K3860" s="2" t="s">
        <v>2384</v>
      </c>
      <c r="L3860" s="3">
        <v>0.37291666666666662</v>
      </c>
      <c r="M3860" s="2" t="s">
        <v>569</v>
      </c>
      <c r="N3860" s="2" t="s">
        <v>500</v>
      </c>
      <c r="O3860" s="2"/>
    </row>
    <row r="3861" spans="1:15" x14ac:dyDescent="0.25">
      <c r="A3861" s="2" t="s">
        <v>15</v>
      </c>
      <c r="B3861" s="2" t="str">
        <f>"FES1162772540"</f>
        <v>FES1162772540</v>
      </c>
      <c r="C3861" s="2" t="s">
        <v>2356</v>
      </c>
      <c r="D3861" s="2">
        <v>1</v>
      </c>
      <c r="E3861" s="2" t="str">
        <f>"2170759424"</f>
        <v>2170759424</v>
      </c>
      <c r="F3861" s="2" t="s">
        <v>17</v>
      </c>
      <c r="G3861" s="2" t="s">
        <v>18</v>
      </c>
      <c r="H3861" s="2" t="s">
        <v>78</v>
      </c>
      <c r="I3861" s="2" t="s">
        <v>79</v>
      </c>
      <c r="J3861" s="2" t="s">
        <v>449</v>
      </c>
      <c r="K3861" s="2" t="s">
        <v>2384</v>
      </c>
      <c r="L3861" s="3">
        <v>0.40625</v>
      </c>
      <c r="M3861" s="2" t="s">
        <v>2457</v>
      </c>
      <c r="N3861" s="2" t="s">
        <v>500</v>
      </c>
      <c r="O3861" s="2"/>
    </row>
    <row r="3862" spans="1:15" x14ac:dyDescent="0.25">
      <c r="A3862" s="2" t="s">
        <v>15</v>
      </c>
      <c r="B3862" s="2" t="str">
        <f>"FES1162772536"</f>
        <v>FES1162772536</v>
      </c>
      <c r="C3862" s="2" t="s">
        <v>2356</v>
      </c>
      <c r="D3862" s="2">
        <v>1</v>
      </c>
      <c r="E3862" s="2" t="str">
        <f>"2170759418"</f>
        <v>2170759418</v>
      </c>
      <c r="F3862" s="2" t="s">
        <v>17</v>
      </c>
      <c r="G3862" s="2" t="s">
        <v>18</v>
      </c>
      <c r="H3862" s="2" t="s">
        <v>25</v>
      </c>
      <c r="I3862" s="2" t="s">
        <v>26</v>
      </c>
      <c r="J3862" s="2" t="s">
        <v>474</v>
      </c>
      <c r="K3862" s="2" t="s">
        <v>2384</v>
      </c>
      <c r="L3862" s="3">
        <v>0.41666666666666669</v>
      </c>
      <c r="M3862" s="2" t="s">
        <v>1060</v>
      </c>
      <c r="N3862" s="2" t="s">
        <v>500</v>
      </c>
      <c r="O3862" s="2"/>
    </row>
    <row r="3863" spans="1:15" x14ac:dyDescent="0.25">
      <c r="A3863" s="2" t="s">
        <v>15</v>
      </c>
      <c r="B3863" s="2" t="str">
        <f>"FES1162772513"</f>
        <v>FES1162772513</v>
      </c>
      <c r="C3863" s="2" t="s">
        <v>2356</v>
      </c>
      <c r="D3863" s="2">
        <v>1</v>
      </c>
      <c r="E3863" s="2" t="str">
        <f>"2170759381"</f>
        <v>2170759381</v>
      </c>
      <c r="F3863" s="2" t="s">
        <v>17</v>
      </c>
      <c r="G3863" s="2" t="s">
        <v>18</v>
      </c>
      <c r="H3863" s="2" t="s">
        <v>25</v>
      </c>
      <c r="I3863" s="2" t="s">
        <v>26</v>
      </c>
      <c r="J3863" s="2" t="s">
        <v>100</v>
      </c>
      <c r="K3863" s="2" t="s">
        <v>2384</v>
      </c>
      <c r="L3863" s="3">
        <v>0.41666666666666669</v>
      </c>
      <c r="M3863" s="2" t="s">
        <v>1853</v>
      </c>
      <c r="N3863" s="2" t="s">
        <v>500</v>
      </c>
      <c r="O3863" s="2"/>
    </row>
    <row r="3864" spans="1:15" x14ac:dyDescent="0.25">
      <c r="A3864" s="2" t="s">
        <v>15</v>
      </c>
      <c r="B3864" s="2" t="str">
        <f>"FES1162772442"</f>
        <v>FES1162772442</v>
      </c>
      <c r="C3864" s="2" t="s">
        <v>2356</v>
      </c>
      <c r="D3864" s="2">
        <v>1</v>
      </c>
      <c r="E3864" s="2" t="str">
        <f>"2170759327"</f>
        <v>2170759327</v>
      </c>
      <c r="F3864" s="2" t="s">
        <v>205</v>
      </c>
      <c r="G3864" s="2" t="s">
        <v>206</v>
      </c>
      <c r="H3864" s="2" t="s">
        <v>1116</v>
      </c>
      <c r="I3864" s="2" t="s">
        <v>109</v>
      </c>
      <c r="J3864" s="2" t="s">
        <v>452</v>
      </c>
      <c r="K3864" s="2" t="s">
        <v>2384</v>
      </c>
      <c r="L3864" s="3">
        <v>0.4548611111111111</v>
      </c>
      <c r="M3864" s="2" t="s">
        <v>2469</v>
      </c>
      <c r="N3864" s="2" t="s">
        <v>500</v>
      </c>
      <c r="O3864" s="2"/>
    </row>
    <row r="3865" spans="1:15" x14ac:dyDescent="0.25">
      <c r="A3865" s="2" t="s">
        <v>15</v>
      </c>
      <c r="B3865" s="2" t="str">
        <f>"FES1162772506"</f>
        <v>FES1162772506</v>
      </c>
      <c r="C3865" s="2" t="s">
        <v>2356</v>
      </c>
      <c r="D3865" s="2">
        <v>1</v>
      </c>
      <c r="E3865" s="2" t="str">
        <f>"2170759372"</f>
        <v>2170759372</v>
      </c>
      <c r="F3865" s="2" t="s">
        <v>17</v>
      </c>
      <c r="G3865" s="2" t="s">
        <v>18</v>
      </c>
      <c r="H3865" s="2" t="s">
        <v>25</v>
      </c>
      <c r="I3865" s="2" t="s">
        <v>26</v>
      </c>
      <c r="J3865" s="2" t="s">
        <v>100</v>
      </c>
      <c r="K3865" s="2" t="s">
        <v>2384</v>
      </c>
      <c r="L3865" s="3">
        <v>0.32708333333333334</v>
      </c>
      <c r="M3865" s="2" t="s">
        <v>454</v>
      </c>
      <c r="N3865" s="2" t="s">
        <v>500</v>
      </c>
      <c r="O3865" s="2"/>
    </row>
    <row r="3866" spans="1:15" x14ac:dyDescent="0.25">
      <c r="A3866" s="2" t="s">
        <v>15</v>
      </c>
      <c r="B3866" s="2" t="str">
        <f>"FES1162772474"</f>
        <v>FES1162772474</v>
      </c>
      <c r="C3866" s="2" t="s">
        <v>2356</v>
      </c>
      <c r="D3866" s="2">
        <v>1</v>
      </c>
      <c r="E3866" s="2" t="str">
        <f>"2170758289"</f>
        <v>2170758289</v>
      </c>
      <c r="F3866" s="2" t="s">
        <v>17</v>
      </c>
      <c r="G3866" s="2" t="s">
        <v>18</v>
      </c>
      <c r="H3866" s="2" t="s">
        <v>120</v>
      </c>
      <c r="I3866" s="2" t="s">
        <v>121</v>
      </c>
      <c r="J3866" s="2" t="s">
        <v>122</v>
      </c>
      <c r="K3866" s="2" t="s">
        <v>2384</v>
      </c>
      <c r="L3866" s="3">
        <v>0.58333333333333337</v>
      </c>
      <c r="M3866" s="2" t="s">
        <v>1548</v>
      </c>
      <c r="N3866" s="2" t="s">
        <v>500</v>
      </c>
      <c r="O3866" s="2"/>
    </row>
    <row r="3867" spans="1:15" x14ac:dyDescent="0.25">
      <c r="A3867" s="2" t="s">
        <v>15</v>
      </c>
      <c r="B3867" s="2" t="str">
        <f>"FES1162772468"</f>
        <v>FES1162772468</v>
      </c>
      <c r="C3867" s="2" t="s">
        <v>2356</v>
      </c>
      <c r="D3867" s="2">
        <v>1</v>
      </c>
      <c r="E3867" s="2" t="str">
        <f>"2170759362"</f>
        <v>2170759362</v>
      </c>
      <c r="F3867" s="2" t="s">
        <v>17</v>
      </c>
      <c r="G3867" s="2" t="s">
        <v>18</v>
      </c>
      <c r="H3867" s="2" t="s">
        <v>78</v>
      </c>
      <c r="I3867" s="2" t="s">
        <v>79</v>
      </c>
      <c r="J3867" s="2" t="s">
        <v>449</v>
      </c>
      <c r="K3867" s="2" t="s">
        <v>2384</v>
      </c>
      <c r="L3867" s="3">
        <v>0.40625</v>
      </c>
      <c r="M3867" s="2" t="s">
        <v>2457</v>
      </c>
      <c r="N3867" s="2" t="s">
        <v>500</v>
      </c>
      <c r="O3867" s="2"/>
    </row>
    <row r="3868" spans="1:15" x14ac:dyDescent="0.25">
      <c r="A3868" s="2" t="s">
        <v>15</v>
      </c>
      <c r="B3868" s="2" t="str">
        <f>"FES1162772441"</f>
        <v>FES1162772441</v>
      </c>
      <c r="C3868" s="2" t="s">
        <v>2356</v>
      </c>
      <c r="D3868" s="2">
        <v>1</v>
      </c>
      <c r="E3868" s="2" t="str">
        <f>"2170759326"</f>
        <v>2170759326</v>
      </c>
      <c r="F3868" s="2" t="s">
        <v>205</v>
      </c>
      <c r="G3868" s="2" t="s">
        <v>206</v>
      </c>
      <c r="H3868" s="2" t="s">
        <v>1116</v>
      </c>
      <c r="I3868" s="2" t="s">
        <v>109</v>
      </c>
      <c r="J3868" s="2" t="s">
        <v>452</v>
      </c>
      <c r="K3868" s="2" t="s">
        <v>2384</v>
      </c>
      <c r="L3868" s="3">
        <v>0.4548611111111111</v>
      </c>
      <c r="M3868" s="2" t="s">
        <v>366</v>
      </c>
      <c r="N3868" s="2" t="s">
        <v>500</v>
      </c>
      <c r="O3868" s="2"/>
    </row>
    <row r="3869" spans="1:15" x14ac:dyDescent="0.25">
      <c r="A3869" s="2" t="s">
        <v>15</v>
      </c>
      <c r="B3869" s="2" t="str">
        <f>"FES1162772519"</f>
        <v>FES1162772519</v>
      </c>
      <c r="C3869" s="2" t="s">
        <v>2356</v>
      </c>
      <c r="D3869" s="2">
        <v>1</v>
      </c>
      <c r="E3869" s="2" t="str">
        <f>"2170759398"</f>
        <v>2170759398</v>
      </c>
      <c r="F3869" s="2" t="s">
        <v>17</v>
      </c>
      <c r="G3869" s="2" t="s">
        <v>18</v>
      </c>
      <c r="H3869" s="2" t="s">
        <v>19</v>
      </c>
      <c r="I3869" s="2" t="s">
        <v>20</v>
      </c>
      <c r="J3869" s="2" t="s">
        <v>123</v>
      </c>
      <c r="K3869" s="2" t="s">
        <v>2384</v>
      </c>
      <c r="L3869" s="3">
        <v>0.44027777777777777</v>
      </c>
      <c r="M3869" s="2" t="s">
        <v>2018</v>
      </c>
      <c r="N3869" s="2" t="s">
        <v>500</v>
      </c>
      <c r="O3869" s="2"/>
    </row>
    <row r="3870" spans="1:15" x14ac:dyDescent="0.25">
      <c r="A3870" s="2" t="s">
        <v>15</v>
      </c>
      <c r="B3870" s="2" t="str">
        <f>"FES1162772493"</f>
        <v>FES1162772493</v>
      </c>
      <c r="C3870" s="2" t="s">
        <v>2356</v>
      </c>
      <c r="D3870" s="2">
        <v>1</v>
      </c>
      <c r="E3870" s="2" t="str">
        <f>"2170759359"</f>
        <v>2170759359</v>
      </c>
      <c r="F3870" s="2" t="s">
        <v>17</v>
      </c>
      <c r="G3870" s="2" t="s">
        <v>18</v>
      </c>
      <c r="H3870" s="2" t="s">
        <v>18</v>
      </c>
      <c r="I3870" s="2" t="s">
        <v>329</v>
      </c>
      <c r="J3870" s="2" t="s">
        <v>2360</v>
      </c>
      <c r="K3870" s="2" t="s">
        <v>2384</v>
      </c>
      <c r="L3870" s="3">
        <v>0.42708333333333331</v>
      </c>
      <c r="M3870" s="2" t="s">
        <v>2470</v>
      </c>
      <c r="N3870" s="2" t="s">
        <v>500</v>
      </c>
      <c r="O3870" s="2"/>
    </row>
    <row r="3871" spans="1:15" x14ac:dyDescent="0.25">
      <c r="A3871" s="2" t="s">
        <v>15</v>
      </c>
      <c r="B3871" s="2" t="str">
        <f>"FES1162772534"</f>
        <v>FES1162772534</v>
      </c>
      <c r="C3871" s="2" t="s">
        <v>2356</v>
      </c>
      <c r="D3871" s="2">
        <v>1</v>
      </c>
      <c r="E3871" s="2" t="str">
        <f>"2170759363"</f>
        <v>2170759363</v>
      </c>
      <c r="F3871" s="2" t="s">
        <v>17</v>
      </c>
      <c r="G3871" s="2" t="s">
        <v>18</v>
      </c>
      <c r="H3871" s="2" t="s">
        <v>36</v>
      </c>
      <c r="I3871" s="2" t="s">
        <v>37</v>
      </c>
      <c r="J3871" s="2" t="s">
        <v>467</v>
      </c>
      <c r="K3871" s="2" t="s">
        <v>2384</v>
      </c>
      <c r="L3871" s="3">
        <v>0.34375</v>
      </c>
      <c r="M3871" s="2" t="s">
        <v>1500</v>
      </c>
      <c r="N3871" s="2" t="s">
        <v>500</v>
      </c>
      <c r="O3871" s="2"/>
    </row>
    <row r="3872" spans="1:15" x14ac:dyDescent="0.25">
      <c r="A3872" s="2" t="s">
        <v>15</v>
      </c>
      <c r="B3872" s="2" t="str">
        <f>"FES1162772531"</f>
        <v>FES1162772531</v>
      </c>
      <c r="C3872" s="2" t="s">
        <v>2356</v>
      </c>
      <c r="D3872" s="2">
        <v>1</v>
      </c>
      <c r="E3872" s="2" t="str">
        <f>"2170759411"</f>
        <v>2170759411</v>
      </c>
      <c r="F3872" s="2" t="s">
        <v>17</v>
      </c>
      <c r="G3872" s="2" t="s">
        <v>18</v>
      </c>
      <c r="H3872" s="2" t="s">
        <v>36</v>
      </c>
      <c r="I3872" s="2" t="s">
        <v>37</v>
      </c>
      <c r="J3872" s="2" t="s">
        <v>104</v>
      </c>
      <c r="K3872" s="2" t="s">
        <v>2384</v>
      </c>
      <c r="L3872" s="3">
        <v>0.43055555555555558</v>
      </c>
      <c r="M3872" s="2" t="s">
        <v>2456</v>
      </c>
      <c r="N3872" s="2" t="s">
        <v>500</v>
      </c>
      <c r="O3872" s="2"/>
    </row>
    <row r="3873" spans="1:15" x14ac:dyDescent="0.25">
      <c r="A3873" s="2" t="s">
        <v>15</v>
      </c>
      <c r="B3873" s="2" t="str">
        <f>"FES1162772551"</f>
        <v>FES1162772551</v>
      </c>
      <c r="C3873" s="2" t="s">
        <v>2356</v>
      </c>
      <c r="D3873" s="2">
        <v>1</v>
      </c>
      <c r="E3873" s="2" t="str">
        <f>"2170759437"</f>
        <v>2170759437</v>
      </c>
      <c r="F3873" s="2" t="s">
        <v>17</v>
      </c>
      <c r="G3873" s="2" t="s">
        <v>18</v>
      </c>
      <c r="H3873" s="2" t="s">
        <v>25</v>
      </c>
      <c r="I3873" s="2" t="s">
        <v>26</v>
      </c>
      <c r="J3873" s="2" t="s">
        <v>94</v>
      </c>
      <c r="K3873" s="2" t="s">
        <v>2384</v>
      </c>
      <c r="L3873" s="3">
        <v>0.41666666666666669</v>
      </c>
      <c r="M3873" s="2" t="s">
        <v>932</v>
      </c>
      <c r="N3873" s="2" t="s">
        <v>500</v>
      </c>
      <c r="O3873" s="2"/>
    </row>
    <row r="3874" spans="1:15" x14ac:dyDescent="0.25">
      <c r="A3874" s="2" t="s">
        <v>15</v>
      </c>
      <c r="B3874" s="2" t="str">
        <f>"FES1162772525"</f>
        <v>FES1162772525</v>
      </c>
      <c r="C3874" s="2" t="s">
        <v>2356</v>
      </c>
      <c r="D3874" s="2">
        <v>1</v>
      </c>
      <c r="E3874" s="2" t="str">
        <f>"2170759402"</f>
        <v>2170759402</v>
      </c>
      <c r="F3874" s="2" t="s">
        <v>17</v>
      </c>
      <c r="G3874" s="2" t="s">
        <v>18</v>
      </c>
      <c r="H3874" s="2" t="s">
        <v>78</v>
      </c>
      <c r="I3874" s="2" t="s">
        <v>79</v>
      </c>
      <c r="J3874" s="2" t="s">
        <v>2429</v>
      </c>
      <c r="K3874" s="2" t="s">
        <v>2384</v>
      </c>
      <c r="L3874" s="3">
        <v>0.37847222222222227</v>
      </c>
      <c r="M3874" s="2" t="s">
        <v>2471</v>
      </c>
      <c r="N3874" s="2" t="s">
        <v>500</v>
      </c>
      <c r="O3874" s="2"/>
    </row>
    <row r="3875" spans="1:15" x14ac:dyDescent="0.25">
      <c r="A3875" s="2" t="s">
        <v>15</v>
      </c>
      <c r="B3875" s="2" t="str">
        <f>"FES1162772477"</f>
        <v>FES1162772477</v>
      </c>
      <c r="C3875" s="2" t="s">
        <v>2356</v>
      </c>
      <c r="D3875" s="2">
        <v>1</v>
      </c>
      <c r="E3875" s="2" t="str">
        <f>"2170758666"</f>
        <v>2170758666</v>
      </c>
      <c r="F3875" s="2" t="s">
        <v>17</v>
      </c>
      <c r="G3875" s="2" t="s">
        <v>18</v>
      </c>
      <c r="H3875" s="2" t="s">
        <v>484</v>
      </c>
      <c r="I3875" s="2" t="s">
        <v>485</v>
      </c>
      <c r="J3875" s="2" t="s">
        <v>486</v>
      </c>
      <c r="K3875" s="2" t="s">
        <v>2384</v>
      </c>
      <c r="L3875" s="3">
        <v>0.41666666666666669</v>
      </c>
      <c r="M3875" s="2" t="s">
        <v>288</v>
      </c>
      <c r="N3875" s="2" t="s">
        <v>500</v>
      </c>
      <c r="O3875" s="2"/>
    </row>
    <row r="3876" spans="1:15" x14ac:dyDescent="0.25">
      <c r="A3876" s="2" t="s">
        <v>15</v>
      </c>
      <c r="B3876" s="2" t="str">
        <f>"FES1162772539"</f>
        <v>FES1162772539</v>
      </c>
      <c r="C3876" s="2" t="s">
        <v>2356</v>
      </c>
      <c r="D3876" s="2">
        <v>1</v>
      </c>
      <c r="E3876" s="2" t="str">
        <f>"2170759422"</f>
        <v>2170759422</v>
      </c>
      <c r="F3876" s="2" t="s">
        <v>17</v>
      </c>
      <c r="G3876" s="2" t="s">
        <v>18</v>
      </c>
      <c r="H3876" s="2" t="s">
        <v>18</v>
      </c>
      <c r="I3876" s="2" t="s">
        <v>46</v>
      </c>
      <c r="J3876" s="2" t="s">
        <v>59</v>
      </c>
      <c r="K3876" s="2" t="s">
        <v>2384</v>
      </c>
      <c r="L3876" s="3">
        <v>0.3125</v>
      </c>
      <c r="M3876" s="2" t="s">
        <v>60</v>
      </c>
      <c r="N3876" s="2" t="s">
        <v>500</v>
      </c>
      <c r="O3876" s="2"/>
    </row>
    <row r="3877" spans="1:15" x14ac:dyDescent="0.25">
      <c r="A3877" s="2" t="s">
        <v>15</v>
      </c>
      <c r="B3877" s="2" t="str">
        <f>"FES1162772545"</f>
        <v>FES1162772545</v>
      </c>
      <c r="C3877" s="2" t="s">
        <v>2356</v>
      </c>
      <c r="D3877" s="2">
        <v>1</v>
      </c>
      <c r="E3877" s="2" t="str">
        <f>"2170759432"</f>
        <v>2170759432</v>
      </c>
      <c r="F3877" s="2" t="s">
        <v>17</v>
      </c>
      <c r="G3877" s="2" t="s">
        <v>18</v>
      </c>
      <c r="H3877" s="2" t="s">
        <v>25</v>
      </c>
      <c r="I3877" s="2" t="s">
        <v>39</v>
      </c>
      <c r="J3877" s="2" t="s">
        <v>40</v>
      </c>
      <c r="K3877" s="2" t="s">
        <v>2384</v>
      </c>
      <c r="L3877" s="3">
        <v>0.41666666666666669</v>
      </c>
      <c r="M3877" s="2" t="s">
        <v>807</v>
      </c>
      <c r="N3877" s="2" t="s">
        <v>500</v>
      </c>
      <c r="O3877" s="2"/>
    </row>
    <row r="3878" spans="1:15" x14ac:dyDescent="0.25">
      <c r="A3878" s="2" t="s">
        <v>15</v>
      </c>
      <c r="B3878" s="2" t="str">
        <f>"FES1162772429"</f>
        <v>FES1162772429</v>
      </c>
      <c r="C3878" s="2" t="s">
        <v>2356</v>
      </c>
      <c r="D3878" s="2">
        <v>1</v>
      </c>
      <c r="E3878" s="2" t="str">
        <f>"2170759314"</f>
        <v>2170759314</v>
      </c>
      <c r="F3878" s="2" t="s">
        <v>480</v>
      </c>
      <c r="G3878" s="2" t="s">
        <v>206</v>
      </c>
      <c r="H3878" s="2" t="s">
        <v>206</v>
      </c>
      <c r="I3878" s="2" t="s">
        <v>63</v>
      </c>
      <c r="J3878" s="2" t="s">
        <v>1808</v>
      </c>
      <c r="K3878" s="2" t="s">
        <v>2384</v>
      </c>
      <c r="L3878" s="3">
        <v>0.3520833333333333</v>
      </c>
      <c r="M3878" s="2" t="s">
        <v>2472</v>
      </c>
      <c r="N3878" s="2" t="s">
        <v>500</v>
      </c>
      <c r="O3878" s="2"/>
    </row>
    <row r="3879" spans="1:15" x14ac:dyDescent="0.25">
      <c r="A3879" s="2" t="s">
        <v>15</v>
      </c>
      <c r="B3879" s="2" t="str">
        <f>"FES1162772533"</f>
        <v>FES1162772533</v>
      </c>
      <c r="C3879" s="2" t="s">
        <v>2356</v>
      </c>
      <c r="D3879" s="2">
        <v>1</v>
      </c>
      <c r="E3879" s="2" t="str">
        <f>"2170759414"</f>
        <v>2170759414</v>
      </c>
      <c r="F3879" s="2" t="s">
        <v>17</v>
      </c>
      <c r="G3879" s="2" t="s">
        <v>18</v>
      </c>
      <c r="H3879" s="2" t="s">
        <v>19</v>
      </c>
      <c r="I3879" s="2" t="s">
        <v>20</v>
      </c>
      <c r="J3879" s="2" t="s">
        <v>461</v>
      </c>
      <c r="K3879" s="2" t="s">
        <v>2384</v>
      </c>
      <c r="L3879" s="3">
        <v>0.33124999999999999</v>
      </c>
      <c r="M3879" s="2" t="s">
        <v>568</v>
      </c>
      <c r="N3879" s="2" t="s">
        <v>500</v>
      </c>
      <c r="O3879" s="2"/>
    </row>
    <row r="3880" spans="1:15" x14ac:dyDescent="0.25">
      <c r="A3880" s="2" t="s">
        <v>15</v>
      </c>
      <c r="B3880" s="2" t="str">
        <f>"FES1162772511"</f>
        <v>FES1162772511</v>
      </c>
      <c r="C3880" s="2" t="s">
        <v>2356</v>
      </c>
      <c r="D3880" s="2">
        <v>1</v>
      </c>
      <c r="E3880" s="2" t="str">
        <f>"2170759378"</f>
        <v>2170759378</v>
      </c>
      <c r="F3880" s="2" t="s">
        <v>17</v>
      </c>
      <c r="G3880" s="2" t="s">
        <v>18</v>
      </c>
      <c r="H3880" s="2" t="s">
        <v>18</v>
      </c>
      <c r="I3880" s="2" t="s">
        <v>478</v>
      </c>
      <c r="J3880" s="2" t="s">
        <v>498</v>
      </c>
      <c r="K3880" s="2" t="s">
        <v>2384</v>
      </c>
      <c r="L3880" s="3">
        <v>0.37777777777777777</v>
      </c>
      <c r="M3880" s="2" t="s">
        <v>2473</v>
      </c>
      <c r="N3880" s="2" t="s">
        <v>500</v>
      </c>
      <c r="O3880" s="2"/>
    </row>
    <row r="3881" spans="1:15" x14ac:dyDescent="0.25">
      <c r="A3881" s="2" t="s">
        <v>15</v>
      </c>
      <c r="B3881" s="2" t="str">
        <f>"FES1162772479"</f>
        <v>FES1162772479</v>
      </c>
      <c r="C3881" s="2" t="s">
        <v>2356</v>
      </c>
      <c r="D3881" s="2">
        <v>1</v>
      </c>
      <c r="E3881" s="2" t="str">
        <f>"2170758719"</f>
        <v>2170758719</v>
      </c>
      <c r="F3881" s="2" t="s">
        <v>17</v>
      </c>
      <c r="G3881" s="2" t="s">
        <v>18</v>
      </c>
      <c r="H3881" s="2" t="s">
        <v>88</v>
      </c>
      <c r="I3881" s="2" t="s">
        <v>612</v>
      </c>
      <c r="J3881" s="2" t="s">
        <v>613</v>
      </c>
      <c r="K3881" s="2" t="s">
        <v>2384</v>
      </c>
      <c r="L3881" s="3">
        <v>0.61041666666666672</v>
      </c>
      <c r="M3881" s="2" t="s">
        <v>2474</v>
      </c>
      <c r="N3881" s="2" t="s">
        <v>500</v>
      </c>
      <c r="O3881" s="2"/>
    </row>
    <row r="3882" spans="1:15" x14ac:dyDescent="0.25">
      <c r="A3882" s="2" t="s">
        <v>15</v>
      </c>
      <c r="B3882" s="2" t="str">
        <f>"FES1162772462"</f>
        <v>FES1162772462</v>
      </c>
      <c r="C3882" s="2" t="s">
        <v>2356</v>
      </c>
      <c r="D3882" s="2">
        <v>1</v>
      </c>
      <c r="E3882" s="2" t="str">
        <f>"2170759353"</f>
        <v>2170759353</v>
      </c>
      <c r="F3882" s="2" t="s">
        <v>17</v>
      </c>
      <c r="G3882" s="2" t="s">
        <v>18</v>
      </c>
      <c r="H3882" s="2" t="s">
        <v>18</v>
      </c>
      <c r="I3882" s="2" t="s">
        <v>46</v>
      </c>
      <c r="J3882" s="2" t="s">
        <v>2430</v>
      </c>
      <c r="K3882" s="2" t="s">
        <v>2384</v>
      </c>
      <c r="L3882" s="3">
        <v>0.40972222222222227</v>
      </c>
      <c r="M3882" s="2" t="s">
        <v>2475</v>
      </c>
      <c r="N3882" s="2" t="s">
        <v>500</v>
      </c>
      <c r="O3882" s="2"/>
    </row>
    <row r="3883" spans="1:15" s="4" customFormat="1" x14ac:dyDescent="0.25">
      <c r="A3883" s="2" t="s">
        <v>15</v>
      </c>
      <c r="B3883" s="2" t="str">
        <f>"FES1162772448"</f>
        <v>FES1162772448</v>
      </c>
      <c r="C3883" s="2" t="s">
        <v>2356</v>
      </c>
      <c r="D3883" s="2">
        <v>1</v>
      </c>
      <c r="E3883" s="2" t="str">
        <f>"2170759336"</f>
        <v>2170759336</v>
      </c>
      <c r="F3883" s="2" t="s">
        <v>17</v>
      </c>
      <c r="G3883" s="2" t="s">
        <v>18</v>
      </c>
      <c r="H3883" s="2" t="s">
        <v>18</v>
      </c>
      <c r="I3883" s="2" t="s">
        <v>46</v>
      </c>
      <c r="J3883" s="2" t="s">
        <v>1709</v>
      </c>
      <c r="K3883" s="2" t="s">
        <v>2384</v>
      </c>
      <c r="L3883" s="3">
        <v>0.31597222222222221</v>
      </c>
      <c r="M3883" s="2" t="s">
        <v>2425</v>
      </c>
      <c r="N3883" s="2" t="s">
        <v>500</v>
      </c>
      <c r="O3883" s="5"/>
    </row>
    <row r="3884" spans="1:15" x14ac:dyDescent="0.25">
      <c r="A3884" s="2" t="s">
        <v>15</v>
      </c>
      <c r="B3884" s="2" t="str">
        <f>"FES1162772460"</f>
        <v>FES1162772460</v>
      </c>
      <c r="C3884" s="2" t="s">
        <v>2356</v>
      </c>
      <c r="D3884" s="2">
        <v>1</v>
      </c>
      <c r="E3884" s="2" t="str">
        <f>"2170759351"</f>
        <v>2170759351</v>
      </c>
      <c r="F3884" s="2" t="s">
        <v>17</v>
      </c>
      <c r="G3884" s="2" t="s">
        <v>18</v>
      </c>
      <c r="H3884" s="2" t="s">
        <v>18</v>
      </c>
      <c r="I3884" s="2" t="s">
        <v>46</v>
      </c>
      <c r="J3884" s="2" t="s">
        <v>2430</v>
      </c>
      <c r="K3884" s="2" t="s">
        <v>2384</v>
      </c>
      <c r="L3884" s="3">
        <v>0.40902777777777777</v>
      </c>
      <c r="M3884" s="2" t="s">
        <v>2475</v>
      </c>
      <c r="N3884" s="2" t="s">
        <v>500</v>
      </c>
      <c r="O3884" s="2"/>
    </row>
    <row r="3885" spans="1:15" x14ac:dyDescent="0.25">
      <c r="A3885" s="2" t="s">
        <v>15</v>
      </c>
      <c r="B3885" s="2" t="str">
        <f>"FES1162772459"</f>
        <v>FES1162772459</v>
      </c>
      <c r="C3885" s="2" t="s">
        <v>2356</v>
      </c>
      <c r="D3885" s="2">
        <v>1</v>
      </c>
      <c r="E3885" s="2" t="str">
        <f>"2170759350"</f>
        <v>2170759350</v>
      </c>
      <c r="F3885" s="2" t="s">
        <v>17</v>
      </c>
      <c r="G3885" s="2" t="s">
        <v>18</v>
      </c>
      <c r="H3885" s="2" t="s">
        <v>18</v>
      </c>
      <c r="I3885" s="2" t="s">
        <v>46</v>
      </c>
      <c r="J3885" s="2" t="s">
        <v>2430</v>
      </c>
      <c r="K3885" s="2" t="s">
        <v>2384</v>
      </c>
      <c r="L3885" s="3">
        <v>0.41041666666666665</v>
      </c>
      <c r="M3885" s="2" t="s">
        <v>2475</v>
      </c>
      <c r="N3885" s="2" t="s">
        <v>500</v>
      </c>
      <c r="O3885" s="2"/>
    </row>
    <row r="3886" spans="1:15" x14ac:dyDescent="0.25">
      <c r="A3886" s="2" t="s">
        <v>15</v>
      </c>
      <c r="B3886" s="2" t="str">
        <f>"FES1162772483"</f>
        <v>FES1162772483</v>
      </c>
      <c r="C3886" s="2" t="s">
        <v>2356</v>
      </c>
      <c r="D3886" s="2">
        <v>1</v>
      </c>
      <c r="E3886" s="2" t="str">
        <f>"2170758953"</f>
        <v>2170758953</v>
      </c>
      <c r="F3886" s="2" t="s">
        <v>17</v>
      </c>
      <c r="G3886" s="2" t="s">
        <v>18</v>
      </c>
      <c r="H3886" s="2" t="s">
        <v>18</v>
      </c>
      <c r="I3886" s="2" t="s">
        <v>163</v>
      </c>
      <c r="J3886" s="2" t="s">
        <v>912</v>
      </c>
      <c r="K3886" s="2" t="s">
        <v>2384</v>
      </c>
      <c r="L3886" s="3">
        <v>0.34027777777777773</v>
      </c>
      <c r="M3886" s="2" t="s">
        <v>2476</v>
      </c>
      <c r="N3886" s="2" t="s">
        <v>500</v>
      </c>
      <c r="O3886" s="2"/>
    </row>
    <row r="3887" spans="1:15" x14ac:dyDescent="0.25">
      <c r="A3887" s="2" t="s">
        <v>15</v>
      </c>
      <c r="B3887" s="2" t="str">
        <f>"FES1162772482"</f>
        <v>FES1162772482</v>
      </c>
      <c r="C3887" s="2" t="s">
        <v>2356</v>
      </c>
      <c r="D3887" s="2">
        <v>1</v>
      </c>
      <c r="E3887" s="2" t="str">
        <f>"2170758914"</f>
        <v>2170758914</v>
      </c>
      <c r="F3887" s="2" t="s">
        <v>17</v>
      </c>
      <c r="G3887" s="2" t="s">
        <v>18</v>
      </c>
      <c r="H3887" s="2" t="s">
        <v>18</v>
      </c>
      <c r="I3887" s="2" t="s">
        <v>57</v>
      </c>
      <c r="J3887" s="2" t="s">
        <v>119</v>
      </c>
      <c r="K3887" s="2" t="s">
        <v>2384</v>
      </c>
      <c r="L3887" s="3">
        <v>0.35972222222222222</v>
      </c>
      <c r="M3887" s="2" t="s">
        <v>230</v>
      </c>
      <c r="N3887" s="2" t="s">
        <v>500</v>
      </c>
      <c r="O3887" s="2"/>
    </row>
    <row r="3888" spans="1:15" x14ac:dyDescent="0.25">
      <c r="A3888" s="2" t="s">
        <v>15</v>
      </c>
      <c r="B3888" s="2" t="str">
        <f>"FES1162772546"</f>
        <v>FES1162772546</v>
      </c>
      <c r="C3888" s="2" t="s">
        <v>2356</v>
      </c>
      <c r="D3888" s="2">
        <v>1</v>
      </c>
      <c r="E3888" s="2" t="str">
        <f>"2170759433"</f>
        <v>2170759433</v>
      </c>
      <c r="F3888" s="2" t="s">
        <v>17</v>
      </c>
      <c r="G3888" s="2" t="s">
        <v>18</v>
      </c>
      <c r="H3888" s="2" t="s">
        <v>88</v>
      </c>
      <c r="I3888" s="2" t="s">
        <v>109</v>
      </c>
      <c r="J3888" s="2" t="s">
        <v>1952</v>
      </c>
      <c r="K3888" s="2" t="s">
        <v>2384</v>
      </c>
      <c r="L3888" s="3">
        <v>0.41319444444444442</v>
      </c>
      <c r="M3888" s="2" t="s">
        <v>2477</v>
      </c>
      <c r="N3888" s="2" t="s">
        <v>500</v>
      </c>
      <c r="O3888" s="2"/>
    </row>
    <row r="3889" spans="1:15" x14ac:dyDescent="0.25">
      <c r="A3889" s="2" t="s">
        <v>15</v>
      </c>
      <c r="B3889" s="2" t="str">
        <f>"FES1162772548"</f>
        <v>FES1162772548</v>
      </c>
      <c r="C3889" s="2" t="s">
        <v>2356</v>
      </c>
      <c r="D3889" s="2">
        <v>1</v>
      </c>
      <c r="E3889" s="2" t="str">
        <f>"2170759434"</f>
        <v>2170759434</v>
      </c>
      <c r="F3889" s="2" t="s">
        <v>17</v>
      </c>
      <c r="G3889" s="2" t="s">
        <v>18</v>
      </c>
      <c r="H3889" s="2" t="s">
        <v>88</v>
      </c>
      <c r="I3889" s="2" t="s">
        <v>109</v>
      </c>
      <c r="J3889" s="2" t="s">
        <v>2431</v>
      </c>
      <c r="K3889" s="2" t="s">
        <v>2490</v>
      </c>
      <c r="L3889" s="3">
        <v>0.3666666666666667</v>
      </c>
      <c r="M3889" s="2" t="s">
        <v>1193</v>
      </c>
      <c r="N3889" s="2" t="s">
        <v>500</v>
      </c>
      <c r="O3889" s="2"/>
    </row>
    <row r="3890" spans="1:15" x14ac:dyDescent="0.25">
      <c r="A3890" s="2" t="s">
        <v>15</v>
      </c>
      <c r="B3890" s="2" t="str">
        <f>"FES1162772572"</f>
        <v>FES1162772572</v>
      </c>
      <c r="C3890" s="2" t="s">
        <v>2356</v>
      </c>
      <c r="D3890" s="2">
        <v>1</v>
      </c>
      <c r="E3890" s="2" t="str">
        <f>"25170757126"</f>
        <v>25170757126</v>
      </c>
      <c r="F3890" s="2" t="s">
        <v>17</v>
      </c>
      <c r="G3890" s="2" t="s">
        <v>18</v>
      </c>
      <c r="H3890" s="2" t="s">
        <v>36</v>
      </c>
      <c r="I3890" s="2" t="s">
        <v>37</v>
      </c>
      <c r="J3890" s="2" t="s">
        <v>1455</v>
      </c>
      <c r="K3890" s="2" t="s">
        <v>2384</v>
      </c>
      <c r="L3890" s="3">
        <v>0.34513888888888888</v>
      </c>
      <c r="M3890" s="2" t="s">
        <v>1577</v>
      </c>
      <c r="N3890" s="2" t="s">
        <v>500</v>
      </c>
      <c r="O3890" s="2"/>
    </row>
    <row r="3891" spans="1:15" x14ac:dyDescent="0.25">
      <c r="A3891" s="2" t="s">
        <v>15</v>
      </c>
      <c r="B3891" s="2" t="str">
        <f>"FES1162772581"</f>
        <v>FES1162772581</v>
      </c>
      <c r="C3891" s="2" t="s">
        <v>2356</v>
      </c>
      <c r="D3891" s="2">
        <v>1</v>
      </c>
      <c r="E3891" s="2" t="str">
        <f>"2170759468"</f>
        <v>2170759468</v>
      </c>
      <c r="F3891" s="2" t="s">
        <v>17</v>
      </c>
      <c r="G3891" s="2" t="s">
        <v>18</v>
      </c>
      <c r="H3891" s="2" t="s">
        <v>25</v>
      </c>
      <c r="I3891" s="2" t="s">
        <v>26</v>
      </c>
      <c r="J3891" s="2" t="s">
        <v>75</v>
      </c>
      <c r="K3891" s="2" t="s">
        <v>2384</v>
      </c>
      <c r="L3891" s="3">
        <v>0.35833333333333334</v>
      </c>
      <c r="M3891" s="2" t="s">
        <v>677</v>
      </c>
      <c r="N3891" s="2" t="s">
        <v>500</v>
      </c>
      <c r="O3891" s="2"/>
    </row>
    <row r="3892" spans="1:15" x14ac:dyDescent="0.25">
      <c r="A3892" s="2" t="s">
        <v>15</v>
      </c>
      <c r="B3892" s="2" t="str">
        <f>"FES1162772457"</f>
        <v>FES1162772457</v>
      </c>
      <c r="C3892" s="2" t="s">
        <v>2356</v>
      </c>
      <c r="D3892" s="2">
        <v>1</v>
      </c>
      <c r="E3892" s="2" t="str">
        <f>"2170759348"</f>
        <v>2170759348</v>
      </c>
      <c r="F3892" s="2" t="s">
        <v>205</v>
      </c>
      <c r="G3892" s="2" t="s">
        <v>206</v>
      </c>
      <c r="H3892" s="2" t="s">
        <v>206</v>
      </c>
      <c r="I3892" s="2" t="s">
        <v>46</v>
      </c>
      <c r="J3892" s="2" t="s">
        <v>2430</v>
      </c>
      <c r="K3892" s="2" t="s">
        <v>2384</v>
      </c>
      <c r="L3892" s="3">
        <v>0.40972222222222227</v>
      </c>
      <c r="M3892" s="2" t="s">
        <v>2475</v>
      </c>
      <c r="N3892" s="2" t="s">
        <v>500</v>
      </c>
      <c r="O3892" s="2"/>
    </row>
    <row r="3893" spans="1:15" x14ac:dyDescent="0.25">
      <c r="A3893" s="2" t="s">
        <v>15</v>
      </c>
      <c r="B3893" s="2" t="str">
        <f>"FES1162772461"</f>
        <v>FES1162772461</v>
      </c>
      <c r="C3893" s="2" t="s">
        <v>2356</v>
      </c>
      <c r="D3893" s="2">
        <v>1</v>
      </c>
      <c r="E3893" s="2" t="str">
        <f>"2170759352"</f>
        <v>2170759352</v>
      </c>
      <c r="F3893" s="2" t="s">
        <v>205</v>
      </c>
      <c r="G3893" s="2" t="s">
        <v>206</v>
      </c>
      <c r="H3893" s="2" t="s">
        <v>206</v>
      </c>
      <c r="I3893" s="2" t="s">
        <v>46</v>
      </c>
      <c r="J3893" s="2" t="s">
        <v>2430</v>
      </c>
      <c r="K3893" s="2" t="s">
        <v>2384</v>
      </c>
      <c r="L3893" s="3">
        <v>0.40972222222222227</v>
      </c>
      <c r="M3893" s="2" t="s">
        <v>2475</v>
      </c>
      <c r="N3893" s="2" t="s">
        <v>500</v>
      </c>
      <c r="O3893" s="2"/>
    </row>
    <row r="3894" spans="1:15" x14ac:dyDescent="0.25">
      <c r="A3894" s="2" t="s">
        <v>15</v>
      </c>
      <c r="B3894" s="2" t="str">
        <f>"FES1162772549"</f>
        <v>FES1162772549</v>
      </c>
      <c r="C3894" s="2" t="s">
        <v>2356</v>
      </c>
      <c r="D3894" s="2">
        <v>1</v>
      </c>
      <c r="E3894" s="2" t="str">
        <f>"2170759435"</f>
        <v>2170759435</v>
      </c>
      <c r="F3894" s="2" t="s">
        <v>17</v>
      </c>
      <c r="G3894" s="2" t="s">
        <v>18</v>
      </c>
      <c r="H3894" s="2" t="s">
        <v>33</v>
      </c>
      <c r="I3894" s="2" t="s">
        <v>34</v>
      </c>
      <c r="J3894" s="2" t="s">
        <v>868</v>
      </c>
      <c r="K3894" s="2" t="s">
        <v>2384</v>
      </c>
      <c r="L3894" s="3">
        <v>0.36736111111111108</v>
      </c>
      <c r="M3894" s="2" t="s">
        <v>941</v>
      </c>
      <c r="N3894" s="2" t="s">
        <v>500</v>
      </c>
      <c r="O3894" s="2"/>
    </row>
    <row r="3895" spans="1:15" x14ac:dyDescent="0.25">
      <c r="A3895" s="2" t="s">
        <v>15</v>
      </c>
      <c r="B3895" s="2" t="str">
        <f>"FES1162772550"</f>
        <v>FES1162772550</v>
      </c>
      <c r="C3895" s="2" t="s">
        <v>2356</v>
      </c>
      <c r="D3895" s="2">
        <v>1</v>
      </c>
      <c r="E3895" s="2" t="str">
        <f>"2170759436"</f>
        <v>2170759436</v>
      </c>
      <c r="F3895" s="2" t="s">
        <v>17</v>
      </c>
      <c r="G3895" s="2" t="s">
        <v>18</v>
      </c>
      <c r="H3895" s="2" t="s">
        <v>33</v>
      </c>
      <c r="I3895" s="2" t="s">
        <v>34</v>
      </c>
      <c r="J3895" s="2" t="s">
        <v>400</v>
      </c>
      <c r="K3895" s="2" t="s">
        <v>2384</v>
      </c>
      <c r="L3895" s="3">
        <v>0.43333333333333335</v>
      </c>
      <c r="M3895" s="2" t="s">
        <v>2478</v>
      </c>
      <c r="N3895" s="2" t="s">
        <v>500</v>
      </c>
      <c r="O3895" s="2"/>
    </row>
    <row r="3896" spans="1:15" x14ac:dyDescent="0.25">
      <c r="A3896" s="2" t="s">
        <v>15</v>
      </c>
      <c r="B3896" s="2" t="str">
        <f>"FES1162772557"</f>
        <v>FES1162772557</v>
      </c>
      <c r="C3896" s="2" t="s">
        <v>2356</v>
      </c>
      <c r="D3896" s="2">
        <v>1</v>
      </c>
      <c r="E3896" s="2" t="str">
        <f>"2170759444"</f>
        <v>2170759444</v>
      </c>
      <c r="F3896" s="2" t="s">
        <v>17</v>
      </c>
      <c r="G3896" s="2" t="s">
        <v>18</v>
      </c>
      <c r="H3896" s="2" t="s">
        <v>25</v>
      </c>
      <c r="I3896" s="2" t="s">
        <v>42</v>
      </c>
      <c r="J3896" s="2" t="s">
        <v>416</v>
      </c>
      <c r="K3896" s="2" t="s">
        <v>2384</v>
      </c>
      <c r="L3896" s="3">
        <v>0.62152777777777779</v>
      </c>
      <c r="M3896" s="2" t="s">
        <v>517</v>
      </c>
      <c r="N3896" s="2" t="s">
        <v>500</v>
      </c>
      <c r="O3896" s="2"/>
    </row>
    <row r="3897" spans="1:15" x14ac:dyDescent="0.25">
      <c r="A3897" s="22" t="s">
        <v>15</v>
      </c>
      <c r="B3897" s="22" t="str">
        <f>"FES1162772503"</f>
        <v>FES1162772503</v>
      </c>
      <c r="C3897" s="22" t="s">
        <v>2356</v>
      </c>
      <c r="D3897" s="22">
        <v>1</v>
      </c>
      <c r="E3897" s="22" t="str">
        <f>"2170757437"</f>
        <v>2170757437</v>
      </c>
      <c r="F3897" s="22" t="s">
        <v>17</v>
      </c>
      <c r="G3897" s="22" t="s">
        <v>18</v>
      </c>
      <c r="H3897" s="22" t="s">
        <v>1433</v>
      </c>
      <c r="I3897" s="22" t="s">
        <v>1748</v>
      </c>
      <c r="J3897" s="22" t="s">
        <v>1749</v>
      </c>
      <c r="K3897" s="22" t="s">
        <v>2490</v>
      </c>
      <c r="L3897" s="22"/>
      <c r="M3897" s="22" t="s">
        <v>23</v>
      </c>
      <c r="N3897" s="22" t="s">
        <v>175</v>
      </c>
      <c r="O3897" s="22"/>
    </row>
    <row r="3898" spans="1:15" x14ac:dyDescent="0.25">
      <c r="A3898" s="2" t="s">
        <v>15</v>
      </c>
      <c r="B3898" s="2" t="str">
        <f>"FES1162772561"</f>
        <v>FES1162772561</v>
      </c>
      <c r="C3898" s="2" t="s">
        <v>2356</v>
      </c>
      <c r="D3898" s="2">
        <v>1</v>
      </c>
      <c r="E3898" s="2" t="str">
        <f>"2170759440"</f>
        <v>2170759440</v>
      </c>
      <c r="F3898" s="2" t="s">
        <v>17</v>
      </c>
      <c r="G3898" s="2" t="s">
        <v>18</v>
      </c>
      <c r="H3898" s="2" t="s">
        <v>25</v>
      </c>
      <c r="I3898" s="2" t="s">
        <v>26</v>
      </c>
      <c r="J3898" s="2" t="s">
        <v>2432</v>
      </c>
      <c r="K3898" s="2" t="s">
        <v>2384</v>
      </c>
      <c r="L3898" s="3">
        <v>0.43402777777777773</v>
      </c>
      <c r="M3898" s="2" t="s">
        <v>2479</v>
      </c>
      <c r="N3898" s="2" t="s">
        <v>500</v>
      </c>
      <c r="O3898" s="2"/>
    </row>
    <row r="3899" spans="1:15" x14ac:dyDescent="0.25">
      <c r="A3899" s="2" t="s">
        <v>15</v>
      </c>
      <c r="B3899" s="2" t="str">
        <f>"FES1162772514"</f>
        <v>FES1162772514</v>
      </c>
      <c r="C3899" s="2" t="s">
        <v>2356</v>
      </c>
      <c r="D3899" s="2">
        <v>1</v>
      </c>
      <c r="E3899" s="2" t="str">
        <f>"2170759382"</f>
        <v>2170759382</v>
      </c>
      <c r="F3899" s="2" t="s">
        <v>17</v>
      </c>
      <c r="G3899" s="2" t="s">
        <v>18</v>
      </c>
      <c r="H3899" s="2" t="s">
        <v>18</v>
      </c>
      <c r="I3899" s="2" t="s">
        <v>46</v>
      </c>
      <c r="J3899" s="2" t="s">
        <v>59</v>
      </c>
      <c r="K3899" s="2" t="s">
        <v>2384</v>
      </c>
      <c r="L3899" s="3">
        <v>0.3125</v>
      </c>
      <c r="M3899" s="2" t="s">
        <v>60</v>
      </c>
      <c r="N3899" s="2" t="s">
        <v>500</v>
      </c>
      <c r="O3899" s="2"/>
    </row>
    <row r="3900" spans="1:15" x14ac:dyDescent="0.25">
      <c r="A3900" s="2" t="s">
        <v>15</v>
      </c>
      <c r="B3900" s="2" t="str">
        <f>"FES1162772510"</f>
        <v>FES1162772510</v>
      </c>
      <c r="C3900" s="2" t="s">
        <v>2356</v>
      </c>
      <c r="D3900" s="2">
        <v>1</v>
      </c>
      <c r="E3900" s="2" t="str">
        <f>"2170759376"</f>
        <v>2170759376</v>
      </c>
      <c r="F3900" s="2" t="s">
        <v>17</v>
      </c>
      <c r="G3900" s="2" t="s">
        <v>18</v>
      </c>
      <c r="H3900" s="2" t="s">
        <v>18</v>
      </c>
      <c r="I3900" s="2" t="s">
        <v>95</v>
      </c>
      <c r="J3900" s="2" t="s">
        <v>2433</v>
      </c>
      <c r="K3900" s="2" t="s">
        <v>2384</v>
      </c>
      <c r="L3900" s="3">
        <v>0.41666666666666669</v>
      </c>
      <c r="M3900" s="2" t="s">
        <v>2480</v>
      </c>
      <c r="N3900" s="2" t="s">
        <v>500</v>
      </c>
      <c r="O3900" s="2"/>
    </row>
    <row r="3901" spans="1:15" x14ac:dyDescent="0.25">
      <c r="A3901" s="2" t="s">
        <v>15</v>
      </c>
      <c r="B3901" s="2" t="str">
        <f>"FES1162772464"</f>
        <v>FES1162772464</v>
      </c>
      <c r="C3901" s="2" t="s">
        <v>2356</v>
      </c>
      <c r="D3901" s="2">
        <v>1</v>
      </c>
      <c r="E3901" s="2" t="str">
        <f>"2170759275"</f>
        <v>2170759275</v>
      </c>
      <c r="F3901" s="2" t="s">
        <v>17</v>
      </c>
      <c r="G3901" s="2" t="s">
        <v>18</v>
      </c>
      <c r="H3901" s="2" t="s">
        <v>18</v>
      </c>
      <c r="I3901" s="2" t="s">
        <v>50</v>
      </c>
      <c r="J3901" s="2" t="s">
        <v>2434</v>
      </c>
      <c r="K3901" s="2" t="s">
        <v>2490</v>
      </c>
      <c r="L3901" s="3">
        <v>0.54166666666666663</v>
      </c>
      <c r="M3901" s="2" t="s">
        <v>2514</v>
      </c>
      <c r="N3901" s="2" t="s">
        <v>500</v>
      </c>
      <c r="O3901" s="2"/>
    </row>
    <row r="3902" spans="1:15" x14ac:dyDescent="0.25">
      <c r="A3902" s="2" t="s">
        <v>15</v>
      </c>
      <c r="B3902" s="2" t="str">
        <f>"FES1162772559"</f>
        <v>FES1162772559</v>
      </c>
      <c r="C3902" s="2" t="s">
        <v>2356</v>
      </c>
      <c r="D3902" s="2">
        <v>1</v>
      </c>
      <c r="E3902" s="2" t="str">
        <f>"2170759446"</f>
        <v>2170759446</v>
      </c>
      <c r="F3902" s="2" t="s">
        <v>17</v>
      </c>
      <c r="G3902" s="2" t="s">
        <v>18</v>
      </c>
      <c r="H3902" s="2" t="s">
        <v>19</v>
      </c>
      <c r="I3902" s="2" t="s">
        <v>269</v>
      </c>
      <c r="J3902" s="2" t="s">
        <v>655</v>
      </c>
      <c r="K3902" s="2" t="s">
        <v>2384</v>
      </c>
      <c r="L3902" s="3">
        <v>0.35694444444444445</v>
      </c>
      <c r="M3902" s="2" t="s">
        <v>1274</v>
      </c>
      <c r="N3902" s="2" t="s">
        <v>500</v>
      </c>
      <c r="O3902" s="2"/>
    </row>
    <row r="3903" spans="1:15" x14ac:dyDescent="0.25">
      <c r="A3903" s="2" t="s">
        <v>15</v>
      </c>
      <c r="B3903" s="2" t="str">
        <f>"FES1162772568"</f>
        <v>FES1162772568</v>
      </c>
      <c r="C3903" s="2" t="s">
        <v>2356</v>
      </c>
      <c r="D3903" s="2">
        <v>1</v>
      </c>
      <c r="E3903" s="2" t="str">
        <f>"2170759457"</f>
        <v>2170759457</v>
      </c>
      <c r="F3903" s="2" t="s">
        <v>17</v>
      </c>
      <c r="G3903" s="2" t="s">
        <v>18</v>
      </c>
      <c r="H3903" s="2" t="s">
        <v>25</v>
      </c>
      <c r="I3903" s="2" t="s">
        <v>42</v>
      </c>
      <c r="J3903" s="2" t="s">
        <v>416</v>
      </c>
      <c r="K3903" s="2" t="s">
        <v>2384</v>
      </c>
      <c r="L3903" s="3">
        <v>0.62152777777777779</v>
      </c>
      <c r="M3903" s="2" t="s">
        <v>517</v>
      </c>
      <c r="N3903" s="2" t="s">
        <v>500</v>
      </c>
      <c r="O3903" s="2"/>
    </row>
    <row r="3904" spans="1:15" x14ac:dyDescent="0.25">
      <c r="A3904" s="2" t="s">
        <v>15</v>
      </c>
      <c r="B3904" s="2" t="str">
        <f>"FES1162772499"</f>
        <v>FES1162772499</v>
      </c>
      <c r="C3904" s="2" t="s">
        <v>2356</v>
      </c>
      <c r="D3904" s="2">
        <v>1</v>
      </c>
      <c r="E3904" s="2" t="str">
        <f>"2170759366"</f>
        <v>2170759366</v>
      </c>
      <c r="F3904" s="2" t="s">
        <v>480</v>
      </c>
      <c r="G3904" s="2" t="s">
        <v>206</v>
      </c>
      <c r="H3904" s="2" t="s">
        <v>206</v>
      </c>
      <c r="I3904" s="2" t="s">
        <v>89</v>
      </c>
      <c r="J3904" s="2" t="s">
        <v>909</v>
      </c>
      <c r="K3904" s="2" t="s">
        <v>2384</v>
      </c>
      <c r="L3904" s="3">
        <v>0.60069444444444442</v>
      </c>
      <c r="M3904" s="2" t="s">
        <v>2481</v>
      </c>
      <c r="N3904" s="2" t="s">
        <v>500</v>
      </c>
      <c r="O3904" s="2"/>
    </row>
    <row r="3905" spans="1:15" x14ac:dyDescent="0.25">
      <c r="A3905" s="2" t="s">
        <v>15</v>
      </c>
      <c r="B3905" s="2" t="str">
        <f>"FES1162772569"</f>
        <v>FES1162772569</v>
      </c>
      <c r="C3905" s="2" t="s">
        <v>2356</v>
      </c>
      <c r="D3905" s="2">
        <v>1</v>
      </c>
      <c r="E3905" s="2" t="str">
        <f>"2170758869"</f>
        <v>2170758869</v>
      </c>
      <c r="F3905" s="2" t="s">
        <v>17</v>
      </c>
      <c r="G3905" s="2" t="s">
        <v>18</v>
      </c>
      <c r="H3905" s="2" t="s">
        <v>78</v>
      </c>
      <c r="I3905" s="2" t="s">
        <v>79</v>
      </c>
      <c r="J3905" s="2" t="s">
        <v>630</v>
      </c>
      <c r="K3905" s="2" t="s">
        <v>2384</v>
      </c>
      <c r="L3905" s="3">
        <v>0.52708333333333335</v>
      </c>
      <c r="M3905" s="2" t="s">
        <v>1877</v>
      </c>
      <c r="N3905" s="2" t="s">
        <v>500</v>
      </c>
      <c r="O3905" s="2"/>
    </row>
    <row r="3906" spans="1:15" x14ac:dyDescent="0.25">
      <c r="A3906" s="2" t="s">
        <v>15</v>
      </c>
      <c r="B3906" s="2" t="str">
        <f>"FES1162772532"</f>
        <v>FES1162772532</v>
      </c>
      <c r="C3906" s="2" t="s">
        <v>2356</v>
      </c>
      <c r="D3906" s="2">
        <v>1</v>
      </c>
      <c r="E3906" s="2" t="str">
        <f>"2170759413"</f>
        <v>2170759413</v>
      </c>
      <c r="F3906" s="2" t="s">
        <v>17</v>
      </c>
      <c r="G3906" s="2" t="s">
        <v>18</v>
      </c>
      <c r="H3906" s="2" t="s">
        <v>18</v>
      </c>
      <c r="I3906" s="2" t="s">
        <v>50</v>
      </c>
      <c r="J3906" s="2" t="s">
        <v>2435</v>
      </c>
      <c r="K3906" s="2" t="s">
        <v>2384</v>
      </c>
      <c r="L3906" s="3">
        <v>0.33333333333333331</v>
      </c>
      <c r="M3906" s="2" t="s">
        <v>2482</v>
      </c>
      <c r="N3906" s="2" t="s">
        <v>500</v>
      </c>
      <c r="O3906" s="2"/>
    </row>
    <row r="3907" spans="1:15" x14ac:dyDescent="0.25">
      <c r="A3907" s="2" t="s">
        <v>15</v>
      </c>
      <c r="B3907" s="2" t="str">
        <f>"FES1162772575"</f>
        <v>FES1162772575</v>
      </c>
      <c r="C3907" s="2" t="s">
        <v>2356</v>
      </c>
      <c r="D3907" s="2">
        <v>2</v>
      </c>
      <c r="E3907" s="2" t="str">
        <f>"2170758828"</f>
        <v>2170758828</v>
      </c>
      <c r="F3907" s="2" t="s">
        <v>17</v>
      </c>
      <c r="G3907" s="2" t="s">
        <v>18</v>
      </c>
      <c r="H3907" s="2" t="s">
        <v>25</v>
      </c>
      <c r="I3907" s="2" t="s">
        <v>26</v>
      </c>
      <c r="J3907" s="2" t="s">
        <v>474</v>
      </c>
      <c r="K3907" s="2" t="s">
        <v>2384</v>
      </c>
      <c r="L3907" s="3">
        <v>0.41666666666666669</v>
      </c>
      <c r="M3907" s="2" t="s">
        <v>2483</v>
      </c>
      <c r="N3907" s="2" t="s">
        <v>500</v>
      </c>
      <c r="O3907" s="2"/>
    </row>
    <row r="3908" spans="1:15" x14ac:dyDescent="0.25">
      <c r="A3908" s="2" t="s">
        <v>15</v>
      </c>
      <c r="B3908" s="2" t="str">
        <f>"FES1162772577"</f>
        <v>FES1162772577</v>
      </c>
      <c r="C3908" s="2" t="s">
        <v>2356</v>
      </c>
      <c r="D3908" s="2">
        <v>1</v>
      </c>
      <c r="E3908" s="2" t="str">
        <f>"2170759463"</f>
        <v>2170759463</v>
      </c>
      <c r="F3908" s="2" t="s">
        <v>17</v>
      </c>
      <c r="G3908" s="2" t="s">
        <v>18</v>
      </c>
      <c r="H3908" s="2" t="s">
        <v>19</v>
      </c>
      <c r="I3908" s="2" t="s">
        <v>20</v>
      </c>
      <c r="J3908" s="2" t="s">
        <v>21</v>
      </c>
      <c r="K3908" s="2" t="s">
        <v>2384</v>
      </c>
      <c r="L3908" s="3">
        <v>0.39166666666666666</v>
      </c>
      <c r="M3908" s="2" t="s">
        <v>682</v>
      </c>
      <c r="N3908" s="2" t="s">
        <v>500</v>
      </c>
      <c r="O3908" s="2"/>
    </row>
    <row r="3909" spans="1:15" x14ac:dyDescent="0.25">
      <c r="A3909" s="2" t="s">
        <v>15</v>
      </c>
      <c r="B3909" s="2" t="str">
        <f>"FES1162772567"</f>
        <v>FES1162772567</v>
      </c>
      <c r="C3909" s="2" t="s">
        <v>2356</v>
      </c>
      <c r="D3909" s="2">
        <v>1</v>
      </c>
      <c r="E3909" s="2" t="str">
        <f>"2170759456"</f>
        <v>2170759456</v>
      </c>
      <c r="F3909" s="2" t="s">
        <v>17</v>
      </c>
      <c r="G3909" s="2" t="s">
        <v>18</v>
      </c>
      <c r="H3909" s="2" t="s">
        <v>78</v>
      </c>
      <c r="I3909" s="2" t="s">
        <v>79</v>
      </c>
      <c r="J3909" s="2" t="s">
        <v>630</v>
      </c>
      <c r="K3909" s="2" t="s">
        <v>2384</v>
      </c>
      <c r="L3909" s="3">
        <v>0.53472222222222221</v>
      </c>
      <c r="M3909" s="2" t="s">
        <v>2484</v>
      </c>
      <c r="N3909" s="2" t="s">
        <v>500</v>
      </c>
      <c r="O3909" s="2"/>
    </row>
    <row r="3910" spans="1:15" x14ac:dyDescent="0.25">
      <c r="A3910" s="2" t="s">
        <v>15</v>
      </c>
      <c r="B3910" s="2" t="str">
        <f>"FES1162772509"</f>
        <v>FES1162772509</v>
      </c>
      <c r="C3910" s="2" t="s">
        <v>2356</v>
      </c>
      <c r="D3910" s="2">
        <v>1</v>
      </c>
      <c r="E3910" s="2" t="str">
        <f>"2170759375"</f>
        <v>2170759375</v>
      </c>
      <c r="F3910" s="2" t="s">
        <v>17</v>
      </c>
      <c r="G3910" s="2" t="s">
        <v>18</v>
      </c>
      <c r="H3910" s="2" t="s">
        <v>19</v>
      </c>
      <c r="I3910" s="2" t="s">
        <v>114</v>
      </c>
      <c r="J3910" s="2" t="s">
        <v>1619</v>
      </c>
      <c r="K3910" s="2" t="s">
        <v>2384</v>
      </c>
      <c r="L3910" s="3">
        <v>0.56319444444444444</v>
      </c>
      <c r="M3910" s="2" t="s">
        <v>2485</v>
      </c>
      <c r="N3910" s="2" t="s">
        <v>500</v>
      </c>
      <c r="O3910" s="2"/>
    </row>
    <row r="3911" spans="1:15" x14ac:dyDescent="0.25">
      <c r="A3911" s="2" t="s">
        <v>15</v>
      </c>
      <c r="B3911" s="2" t="str">
        <f>"FES1162772508"</f>
        <v>FES1162772508</v>
      </c>
      <c r="C3911" s="2" t="s">
        <v>2356</v>
      </c>
      <c r="D3911" s="2">
        <v>1</v>
      </c>
      <c r="E3911" s="2" t="str">
        <f>"2170759374"</f>
        <v>2170759374</v>
      </c>
      <c r="F3911" s="2" t="s">
        <v>17</v>
      </c>
      <c r="G3911" s="2" t="s">
        <v>18</v>
      </c>
      <c r="H3911" s="2" t="s">
        <v>19</v>
      </c>
      <c r="I3911" s="2" t="s">
        <v>20</v>
      </c>
      <c r="J3911" s="2" t="s">
        <v>123</v>
      </c>
      <c r="K3911" s="2" t="s">
        <v>2384</v>
      </c>
      <c r="L3911" s="3">
        <v>0.44027777777777777</v>
      </c>
      <c r="M3911" s="2" t="s">
        <v>2018</v>
      </c>
      <c r="N3911" s="2" t="s">
        <v>500</v>
      </c>
      <c r="O3911" s="2"/>
    </row>
    <row r="3912" spans="1:15" x14ac:dyDescent="0.25">
      <c r="A3912" s="2" t="s">
        <v>15</v>
      </c>
      <c r="B3912" s="2" t="str">
        <f>"FES1162772592"</f>
        <v>FES1162772592</v>
      </c>
      <c r="C3912" s="2" t="s">
        <v>2356</v>
      </c>
      <c r="D3912" s="2">
        <v>1</v>
      </c>
      <c r="E3912" s="2" t="str">
        <f>"2170758136"</f>
        <v>2170758136</v>
      </c>
      <c r="F3912" s="2" t="s">
        <v>17</v>
      </c>
      <c r="G3912" s="2" t="s">
        <v>18</v>
      </c>
      <c r="H3912" s="2" t="s">
        <v>25</v>
      </c>
      <c r="I3912" s="2" t="s">
        <v>42</v>
      </c>
      <c r="J3912" s="2" t="s">
        <v>43</v>
      </c>
      <c r="K3912" s="2" t="s">
        <v>2384</v>
      </c>
      <c r="L3912" s="3">
        <v>0.6430555555555556</v>
      </c>
      <c r="M3912" s="2" t="s">
        <v>180</v>
      </c>
      <c r="N3912" s="2" t="s">
        <v>500</v>
      </c>
      <c r="O3912" s="2"/>
    </row>
    <row r="3913" spans="1:15" x14ac:dyDescent="0.25">
      <c r="A3913" s="2" t="s">
        <v>15</v>
      </c>
      <c r="B3913" s="2" t="str">
        <f>"FES1162772419"</f>
        <v>FES1162772419</v>
      </c>
      <c r="C3913" s="2" t="s">
        <v>2356</v>
      </c>
      <c r="D3913" s="2">
        <v>1</v>
      </c>
      <c r="E3913" s="2" t="str">
        <f>"2170759295"</f>
        <v>2170759295</v>
      </c>
      <c r="F3913" s="2" t="s">
        <v>17</v>
      </c>
      <c r="G3913" s="2" t="s">
        <v>18</v>
      </c>
      <c r="H3913" s="2" t="s">
        <v>18</v>
      </c>
      <c r="I3913" s="2" t="s">
        <v>63</v>
      </c>
      <c r="J3913" s="2" t="s">
        <v>93</v>
      </c>
      <c r="K3913" s="2" t="s">
        <v>2384</v>
      </c>
      <c r="L3913" s="3">
        <v>0.33402777777777781</v>
      </c>
      <c r="M3913" s="2" t="s">
        <v>736</v>
      </c>
      <c r="N3913" s="2" t="s">
        <v>500</v>
      </c>
      <c r="O3913" s="2"/>
    </row>
    <row r="3914" spans="1:15" x14ac:dyDescent="0.25">
      <c r="A3914" s="2" t="s">
        <v>15</v>
      </c>
      <c r="B3914" s="2" t="str">
        <f>"FES1162772564"</f>
        <v>FES1162772564</v>
      </c>
      <c r="C3914" s="2" t="s">
        <v>2356</v>
      </c>
      <c r="D3914" s="2">
        <v>1</v>
      </c>
      <c r="E3914" s="2" t="str">
        <f>"2170759427"</f>
        <v>2170759427</v>
      </c>
      <c r="F3914" s="2" t="s">
        <v>17</v>
      </c>
      <c r="G3914" s="2" t="s">
        <v>18</v>
      </c>
      <c r="H3914" s="2" t="s">
        <v>19</v>
      </c>
      <c r="I3914" s="2" t="s">
        <v>111</v>
      </c>
      <c r="J3914" s="2" t="s">
        <v>1227</v>
      </c>
      <c r="K3914" s="2" t="s">
        <v>2384</v>
      </c>
      <c r="L3914" s="3">
        <v>0.58333333333333337</v>
      </c>
      <c r="M3914" s="2" t="s">
        <v>2515</v>
      </c>
      <c r="N3914" s="2" t="s">
        <v>500</v>
      </c>
      <c r="O3914" s="2"/>
    </row>
    <row r="3915" spans="1:15" x14ac:dyDescent="0.25">
      <c r="A3915" s="2" t="s">
        <v>15</v>
      </c>
      <c r="B3915" s="2" t="str">
        <f>"FES1162772591"</f>
        <v>FES1162772591</v>
      </c>
      <c r="C3915" s="2" t="s">
        <v>2356</v>
      </c>
      <c r="D3915" s="2">
        <v>1</v>
      </c>
      <c r="E3915" s="2" t="str">
        <f>"2170756661"</f>
        <v>2170756661</v>
      </c>
      <c r="F3915" s="2" t="s">
        <v>17</v>
      </c>
      <c r="G3915" s="2" t="s">
        <v>18</v>
      </c>
      <c r="H3915" s="2" t="s">
        <v>33</v>
      </c>
      <c r="I3915" s="2" t="s">
        <v>34</v>
      </c>
      <c r="J3915" s="2" t="s">
        <v>2362</v>
      </c>
      <c r="K3915" s="2" t="s">
        <v>2384</v>
      </c>
      <c r="L3915" s="3">
        <v>0.39999999999999997</v>
      </c>
      <c r="M3915" s="2" t="s">
        <v>2486</v>
      </c>
      <c r="N3915" s="2" t="s">
        <v>500</v>
      </c>
      <c r="O3915" s="2"/>
    </row>
    <row r="3916" spans="1:15" x14ac:dyDescent="0.25">
      <c r="A3916" s="2" t="s">
        <v>15</v>
      </c>
      <c r="B3916" s="2" t="str">
        <f>"FES1162772597"</f>
        <v>FES1162772597</v>
      </c>
      <c r="C3916" s="2" t="s">
        <v>2356</v>
      </c>
      <c r="D3916" s="2">
        <v>1</v>
      </c>
      <c r="E3916" s="2" t="str">
        <f>"2170759479"</f>
        <v>2170759479</v>
      </c>
      <c r="F3916" s="2" t="s">
        <v>17</v>
      </c>
      <c r="G3916" s="2" t="s">
        <v>18</v>
      </c>
      <c r="H3916" s="2" t="s">
        <v>18</v>
      </c>
      <c r="I3916" s="2" t="s">
        <v>57</v>
      </c>
      <c r="J3916" s="2" t="s">
        <v>92</v>
      </c>
      <c r="K3916" s="2" t="s">
        <v>2384</v>
      </c>
      <c r="L3916" s="3">
        <v>0.3215277777777778</v>
      </c>
      <c r="M3916" s="2" t="s">
        <v>2333</v>
      </c>
      <c r="N3916" s="2" t="s">
        <v>500</v>
      </c>
      <c r="O3916" s="2"/>
    </row>
    <row r="3917" spans="1:15" x14ac:dyDescent="0.25">
      <c r="A3917" s="2" t="s">
        <v>15</v>
      </c>
      <c r="B3917" s="2" t="str">
        <f>"FES1162772596"</f>
        <v>FES1162772596</v>
      </c>
      <c r="C3917" s="2" t="s">
        <v>2356</v>
      </c>
      <c r="D3917" s="2">
        <v>1</v>
      </c>
      <c r="E3917" s="2" t="str">
        <f>"2170759478"</f>
        <v>2170759478</v>
      </c>
      <c r="F3917" s="2" t="s">
        <v>17</v>
      </c>
      <c r="G3917" s="2" t="s">
        <v>18</v>
      </c>
      <c r="H3917" s="2" t="s">
        <v>88</v>
      </c>
      <c r="I3917" s="2" t="s">
        <v>109</v>
      </c>
      <c r="J3917" s="2" t="s">
        <v>2436</v>
      </c>
      <c r="K3917" s="2" t="s">
        <v>2384</v>
      </c>
      <c r="L3917" s="3">
        <v>0.42708333333333331</v>
      </c>
      <c r="M3917" s="2" t="s">
        <v>2487</v>
      </c>
      <c r="N3917" s="2" t="s">
        <v>500</v>
      </c>
      <c r="O3917" s="2"/>
    </row>
    <row r="3918" spans="1:15" x14ac:dyDescent="0.25">
      <c r="A3918" s="2" t="s">
        <v>15</v>
      </c>
      <c r="B3918" s="2" t="str">
        <f>"FES1162772579"</f>
        <v>FES1162772579</v>
      </c>
      <c r="C3918" s="2" t="s">
        <v>2356</v>
      </c>
      <c r="D3918" s="2">
        <v>1</v>
      </c>
      <c r="E3918" s="2" t="str">
        <f>"2170759465"</f>
        <v>2170759465</v>
      </c>
      <c r="F3918" s="2" t="s">
        <v>17</v>
      </c>
      <c r="G3918" s="2" t="s">
        <v>18</v>
      </c>
      <c r="H3918" s="2" t="s">
        <v>25</v>
      </c>
      <c r="I3918" s="2" t="s">
        <v>26</v>
      </c>
      <c r="J3918" s="2" t="s">
        <v>75</v>
      </c>
      <c r="K3918" s="2" t="s">
        <v>2384</v>
      </c>
      <c r="L3918" s="3">
        <v>0.35902777777777778</v>
      </c>
      <c r="M3918" s="2" t="s">
        <v>677</v>
      </c>
      <c r="N3918" s="2" t="s">
        <v>500</v>
      </c>
      <c r="O3918" s="2"/>
    </row>
    <row r="3919" spans="1:15" x14ac:dyDescent="0.25">
      <c r="A3919" s="2" t="s">
        <v>15</v>
      </c>
      <c r="B3919" s="2" t="str">
        <f>"FES1162772598"</f>
        <v>FES1162772598</v>
      </c>
      <c r="C3919" s="2" t="s">
        <v>2356</v>
      </c>
      <c r="D3919" s="2">
        <v>1</v>
      </c>
      <c r="E3919" s="2" t="str">
        <f>"2170759480"</f>
        <v>2170759480</v>
      </c>
      <c r="F3919" s="2" t="s">
        <v>17</v>
      </c>
      <c r="G3919" s="2" t="s">
        <v>18</v>
      </c>
      <c r="H3919" s="2" t="s">
        <v>25</v>
      </c>
      <c r="I3919" s="2" t="s">
        <v>26</v>
      </c>
      <c r="J3919" s="2" t="s">
        <v>27</v>
      </c>
      <c r="K3919" s="2" t="s">
        <v>2384</v>
      </c>
      <c r="L3919" s="3">
        <v>0.36805555555555558</v>
      </c>
      <c r="M3919" s="2" t="s">
        <v>521</v>
      </c>
      <c r="N3919" s="2" t="s">
        <v>500</v>
      </c>
      <c r="O3919" s="2"/>
    </row>
    <row r="3920" spans="1:15" x14ac:dyDescent="0.25">
      <c r="A3920" s="2" t="s">
        <v>15</v>
      </c>
      <c r="B3920" s="2" t="str">
        <f>"FES1162772599"</f>
        <v>FES1162772599</v>
      </c>
      <c r="C3920" s="2" t="s">
        <v>2356</v>
      </c>
      <c r="D3920" s="2">
        <v>1</v>
      </c>
      <c r="E3920" s="2" t="str">
        <f>"2170759482"</f>
        <v>2170759482</v>
      </c>
      <c r="F3920" s="2" t="s">
        <v>17</v>
      </c>
      <c r="G3920" s="2" t="s">
        <v>18</v>
      </c>
      <c r="H3920" s="2" t="s">
        <v>25</v>
      </c>
      <c r="I3920" s="2" t="s">
        <v>26</v>
      </c>
      <c r="J3920" s="2" t="s">
        <v>27</v>
      </c>
      <c r="K3920" s="2" t="s">
        <v>2384</v>
      </c>
      <c r="L3920" s="3">
        <v>0.36805555555555558</v>
      </c>
      <c r="M3920" s="2" t="s">
        <v>521</v>
      </c>
      <c r="N3920" s="2" t="s">
        <v>500</v>
      </c>
      <c r="O3920" s="2"/>
    </row>
    <row r="3921" spans="1:15" x14ac:dyDescent="0.25">
      <c r="A3921" s="2" t="s">
        <v>15</v>
      </c>
      <c r="B3921" s="2" t="str">
        <f>"FES1162772553"</f>
        <v>FES1162772553</v>
      </c>
      <c r="C3921" s="2" t="s">
        <v>2356</v>
      </c>
      <c r="D3921" s="2">
        <v>1</v>
      </c>
      <c r="E3921" s="2" t="str">
        <f>"2170753342"</f>
        <v>2170753342</v>
      </c>
      <c r="F3921" s="2" t="s">
        <v>17</v>
      </c>
      <c r="G3921" s="2" t="s">
        <v>18</v>
      </c>
      <c r="H3921" s="2" t="s">
        <v>18</v>
      </c>
      <c r="I3921" s="2" t="s">
        <v>82</v>
      </c>
      <c r="J3921" s="2" t="s">
        <v>1707</v>
      </c>
      <c r="K3921" s="2" t="s">
        <v>2384</v>
      </c>
      <c r="L3921" s="3">
        <v>0.4201388888888889</v>
      </c>
      <c r="M3921" s="2" t="s">
        <v>176</v>
      </c>
      <c r="N3921" s="2" t="s">
        <v>500</v>
      </c>
      <c r="O3921" s="2"/>
    </row>
    <row r="3922" spans="1:15" x14ac:dyDescent="0.25">
      <c r="A3922" s="2" t="s">
        <v>15</v>
      </c>
      <c r="B3922" s="2" t="str">
        <f>"FES1162772552"</f>
        <v>FES1162772552</v>
      </c>
      <c r="C3922" s="2" t="s">
        <v>2356</v>
      </c>
      <c r="D3922" s="2">
        <v>1</v>
      </c>
      <c r="E3922" s="2" t="str">
        <f>"2170759441"</f>
        <v>2170759441</v>
      </c>
      <c r="F3922" s="2" t="s">
        <v>205</v>
      </c>
      <c r="G3922" s="2" t="s">
        <v>206</v>
      </c>
      <c r="H3922" s="2" t="s">
        <v>19</v>
      </c>
      <c r="I3922" s="2" t="s">
        <v>111</v>
      </c>
      <c r="J3922" s="2" t="s">
        <v>112</v>
      </c>
      <c r="K3922" s="2" t="s">
        <v>2384</v>
      </c>
      <c r="L3922" s="3">
        <v>0.46319444444444446</v>
      </c>
      <c r="M3922" s="2" t="s">
        <v>225</v>
      </c>
      <c r="N3922" s="2" t="s">
        <v>500</v>
      </c>
      <c r="O3922" s="2"/>
    </row>
    <row r="3923" spans="1:15" x14ac:dyDescent="0.25">
      <c r="A3923" s="2" t="s">
        <v>15</v>
      </c>
      <c r="B3923" s="2" t="str">
        <f>"FES1162772585"</f>
        <v>FES1162772585</v>
      </c>
      <c r="C3923" s="2" t="s">
        <v>2356</v>
      </c>
      <c r="D3923" s="2">
        <v>1</v>
      </c>
      <c r="E3923" s="2" t="str">
        <f>"2170759473"</f>
        <v>2170759473</v>
      </c>
      <c r="F3923" s="2" t="s">
        <v>17</v>
      </c>
      <c r="G3923" s="2" t="s">
        <v>18</v>
      </c>
      <c r="H3923" s="2" t="s">
        <v>36</v>
      </c>
      <c r="I3923" s="2" t="s">
        <v>37</v>
      </c>
      <c r="J3923" s="2" t="s">
        <v>104</v>
      </c>
      <c r="K3923" s="2" t="s">
        <v>2384</v>
      </c>
      <c r="L3923" s="3">
        <v>0.43055555555555558</v>
      </c>
      <c r="M3923" s="2" t="s">
        <v>2456</v>
      </c>
      <c r="N3923" s="2" t="s">
        <v>500</v>
      </c>
      <c r="O3923" s="2"/>
    </row>
    <row r="3924" spans="1:15" x14ac:dyDescent="0.25">
      <c r="A3924" s="2" t="s">
        <v>15</v>
      </c>
      <c r="B3924" s="2" t="str">
        <f>"FES1162772594"</f>
        <v>FES1162772594</v>
      </c>
      <c r="C3924" s="2" t="s">
        <v>2356</v>
      </c>
      <c r="D3924" s="2">
        <v>1</v>
      </c>
      <c r="E3924" s="2" t="str">
        <f>"2170759021"</f>
        <v>2170759021</v>
      </c>
      <c r="F3924" s="2" t="s">
        <v>17</v>
      </c>
      <c r="G3924" s="2" t="s">
        <v>18</v>
      </c>
      <c r="H3924" s="2" t="s">
        <v>78</v>
      </c>
      <c r="I3924" s="2" t="s">
        <v>159</v>
      </c>
      <c r="J3924" s="2" t="s">
        <v>402</v>
      </c>
      <c r="K3924" s="2" t="s">
        <v>2384</v>
      </c>
      <c r="L3924" s="3">
        <v>0.4236111111111111</v>
      </c>
      <c r="M3924" s="2" t="s">
        <v>2488</v>
      </c>
      <c r="N3924" s="2" t="s">
        <v>500</v>
      </c>
      <c r="O3924" s="2"/>
    </row>
    <row r="3925" spans="1:15" x14ac:dyDescent="0.25">
      <c r="A3925" s="2" t="s">
        <v>15</v>
      </c>
      <c r="B3925" s="2" t="str">
        <f>"FES1162772583"</f>
        <v>FES1162772583</v>
      </c>
      <c r="C3925" s="2" t="s">
        <v>2356</v>
      </c>
      <c r="D3925" s="2">
        <v>1</v>
      </c>
      <c r="E3925" s="2" t="str">
        <f>"2170759470"</f>
        <v>2170759470</v>
      </c>
      <c r="F3925" s="2" t="s">
        <v>17</v>
      </c>
      <c r="G3925" s="2" t="s">
        <v>18</v>
      </c>
      <c r="H3925" s="2" t="s">
        <v>18</v>
      </c>
      <c r="I3925" s="2" t="s">
        <v>46</v>
      </c>
      <c r="J3925" s="2" t="s">
        <v>59</v>
      </c>
      <c r="K3925" s="2" t="s">
        <v>2384</v>
      </c>
      <c r="L3925" s="3">
        <v>0.3125</v>
      </c>
      <c r="M3925" s="2" t="s">
        <v>60</v>
      </c>
      <c r="N3925" s="2" t="s">
        <v>500</v>
      </c>
      <c r="O3925" s="2"/>
    </row>
    <row r="3926" spans="1:15" x14ac:dyDescent="0.25">
      <c r="A3926" s="2" t="s">
        <v>15</v>
      </c>
      <c r="B3926" s="2" t="str">
        <f>"FES1162772565"</f>
        <v>FES1162772565</v>
      </c>
      <c r="C3926" s="2" t="s">
        <v>2356</v>
      </c>
      <c r="D3926" s="2">
        <v>1</v>
      </c>
      <c r="E3926" s="2" t="str">
        <f>"2170759431"</f>
        <v>2170759431</v>
      </c>
      <c r="F3926" s="2" t="s">
        <v>17</v>
      </c>
      <c r="G3926" s="2" t="s">
        <v>18</v>
      </c>
      <c r="H3926" s="2" t="s">
        <v>19</v>
      </c>
      <c r="I3926" s="2" t="s">
        <v>111</v>
      </c>
      <c r="J3926" s="2" t="s">
        <v>1227</v>
      </c>
      <c r="K3926" s="2" t="s">
        <v>2384</v>
      </c>
      <c r="L3926" s="3">
        <v>0.54166666666666663</v>
      </c>
      <c r="M3926" s="2" t="s">
        <v>1502</v>
      </c>
      <c r="N3926" s="2" t="s">
        <v>500</v>
      </c>
      <c r="O3926" s="2"/>
    </row>
    <row r="3927" spans="1:15" x14ac:dyDescent="0.25">
      <c r="A3927" s="2" t="s">
        <v>15</v>
      </c>
      <c r="B3927" s="2" t="str">
        <f>"FES1162772556"</f>
        <v>FES1162772556</v>
      </c>
      <c r="C3927" s="2" t="s">
        <v>2356</v>
      </c>
      <c r="D3927" s="2">
        <v>1</v>
      </c>
      <c r="E3927" s="2" t="str">
        <f>"2170757444"</f>
        <v>2170757444</v>
      </c>
      <c r="F3927" s="2" t="s">
        <v>17</v>
      </c>
      <c r="G3927" s="2" t="s">
        <v>18</v>
      </c>
      <c r="H3927" s="2" t="s">
        <v>18</v>
      </c>
      <c r="I3927" s="2" t="s">
        <v>82</v>
      </c>
      <c r="J3927" s="2" t="s">
        <v>1707</v>
      </c>
      <c r="K3927" s="2" t="s">
        <v>2384</v>
      </c>
      <c r="L3927" s="3">
        <v>0.4201388888888889</v>
      </c>
      <c r="M3927" s="2" t="s">
        <v>176</v>
      </c>
      <c r="N3927" s="2" t="s">
        <v>500</v>
      </c>
      <c r="O3927" s="2"/>
    </row>
    <row r="3928" spans="1:15" x14ac:dyDescent="0.25">
      <c r="A3928" s="2" t="s">
        <v>15</v>
      </c>
      <c r="B3928" s="2" t="str">
        <f>"FES1162772555"</f>
        <v>FES1162772555</v>
      </c>
      <c r="C3928" s="2" t="s">
        <v>2356</v>
      </c>
      <c r="D3928" s="2">
        <v>1</v>
      </c>
      <c r="E3928" s="2" t="str">
        <f>"2170756580"</f>
        <v>2170756580</v>
      </c>
      <c r="F3928" s="2" t="s">
        <v>17</v>
      </c>
      <c r="G3928" s="2" t="s">
        <v>18</v>
      </c>
      <c r="H3928" s="2" t="s">
        <v>18</v>
      </c>
      <c r="I3928" s="2" t="s">
        <v>82</v>
      </c>
      <c r="J3928" s="2" t="s">
        <v>1707</v>
      </c>
      <c r="K3928" s="2" t="s">
        <v>2384</v>
      </c>
      <c r="L3928" s="3">
        <v>0.4201388888888889</v>
      </c>
      <c r="M3928" s="2" t="s">
        <v>176</v>
      </c>
      <c r="N3928" s="2" t="s">
        <v>500</v>
      </c>
      <c r="O3928" s="2"/>
    </row>
    <row r="3929" spans="1:15" x14ac:dyDescent="0.25">
      <c r="A3929" s="2" t="s">
        <v>15</v>
      </c>
      <c r="B3929" s="2" t="str">
        <f>"FES1162772554"</f>
        <v>FES1162772554</v>
      </c>
      <c r="C3929" s="2" t="s">
        <v>2356</v>
      </c>
      <c r="D3929" s="2">
        <v>1</v>
      </c>
      <c r="E3929" s="2" t="str">
        <f>"2170754742"</f>
        <v>2170754742</v>
      </c>
      <c r="F3929" s="2" t="s">
        <v>17</v>
      </c>
      <c r="G3929" s="2" t="s">
        <v>18</v>
      </c>
      <c r="H3929" s="2" t="s">
        <v>18</v>
      </c>
      <c r="I3929" s="2" t="s">
        <v>82</v>
      </c>
      <c r="J3929" s="2" t="s">
        <v>1707</v>
      </c>
      <c r="K3929" s="2" t="s">
        <v>2384</v>
      </c>
      <c r="L3929" s="3">
        <v>0.4201388888888889</v>
      </c>
      <c r="M3929" s="2" t="s">
        <v>176</v>
      </c>
      <c r="N3929" s="2" t="s">
        <v>500</v>
      </c>
      <c r="O3929" s="2"/>
    </row>
    <row r="3930" spans="1:15" x14ac:dyDescent="0.25">
      <c r="A3930" s="2" t="s">
        <v>15</v>
      </c>
      <c r="B3930" s="2" t="str">
        <f>"FES1162772562"</f>
        <v>FES1162772562</v>
      </c>
      <c r="C3930" s="2" t="s">
        <v>2356</v>
      </c>
      <c r="D3930" s="2">
        <v>1</v>
      </c>
      <c r="E3930" s="2" t="str">
        <f>"2170759442"</f>
        <v>2170759442</v>
      </c>
      <c r="F3930" s="2" t="s">
        <v>17</v>
      </c>
      <c r="G3930" s="2" t="s">
        <v>18</v>
      </c>
      <c r="H3930" s="2" t="s">
        <v>18</v>
      </c>
      <c r="I3930" s="2" t="s">
        <v>46</v>
      </c>
      <c r="J3930" s="2" t="s">
        <v>139</v>
      </c>
      <c r="K3930" s="2" t="s">
        <v>2384</v>
      </c>
      <c r="L3930" s="3">
        <v>0.3</v>
      </c>
      <c r="M3930" s="2" t="s">
        <v>354</v>
      </c>
      <c r="N3930" s="2" t="s">
        <v>500</v>
      </c>
      <c r="O3930" s="2"/>
    </row>
    <row r="3931" spans="1:15" x14ac:dyDescent="0.25">
      <c r="A3931" s="2" t="s">
        <v>15</v>
      </c>
      <c r="B3931" s="2" t="str">
        <f>"FES1162772589"</f>
        <v>FES1162772589</v>
      </c>
      <c r="C3931" s="2" t="s">
        <v>2356</v>
      </c>
      <c r="D3931" s="2">
        <v>1</v>
      </c>
      <c r="E3931" s="2" t="str">
        <f>"2170759474"</f>
        <v>2170759474</v>
      </c>
      <c r="F3931" s="2" t="s">
        <v>17</v>
      </c>
      <c r="G3931" s="2" t="s">
        <v>18</v>
      </c>
      <c r="H3931" s="2" t="s">
        <v>19</v>
      </c>
      <c r="I3931" s="2" t="s">
        <v>20</v>
      </c>
      <c r="J3931" s="2" t="s">
        <v>359</v>
      </c>
      <c r="K3931" s="2" t="s">
        <v>2384</v>
      </c>
      <c r="L3931" s="3">
        <v>0.5180555555555556</v>
      </c>
      <c r="M3931" s="2" t="s">
        <v>2184</v>
      </c>
      <c r="N3931" s="2" t="s">
        <v>500</v>
      </c>
      <c r="O3931" s="2"/>
    </row>
    <row r="3932" spans="1:15" x14ac:dyDescent="0.25">
      <c r="A3932" s="2" t="s">
        <v>15</v>
      </c>
      <c r="B3932" s="2" t="str">
        <f>"FES1162772544"</f>
        <v>FES1162772544</v>
      </c>
      <c r="C3932" s="2" t="s">
        <v>2356</v>
      </c>
      <c r="D3932" s="2">
        <v>1</v>
      </c>
      <c r="E3932" s="2" t="str">
        <f>"2170759404"</f>
        <v>2170759404</v>
      </c>
      <c r="F3932" s="2" t="s">
        <v>17</v>
      </c>
      <c r="G3932" s="2" t="s">
        <v>18</v>
      </c>
      <c r="H3932" s="2" t="s">
        <v>484</v>
      </c>
      <c r="I3932" s="2" t="s">
        <v>485</v>
      </c>
      <c r="J3932" s="2" t="s">
        <v>486</v>
      </c>
      <c r="K3932" s="2" t="s">
        <v>2384</v>
      </c>
      <c r="L3932" s="3">
        <v>0.41666666666666669</v>
      </c>
      <c r="M3932" s="2" t="s">
        <v>288</v>
      </c>
      <c r="N3932" s="2" t="s">
        <v>500</v>
      </c>
      <c r="O3932" s="2"/>
    </row>
    <row r="3933" spans="1:15" x14ac:dyDescent="0.25">
      <c r="A3933" s="2" t="s">
        <v>15</v>
      </c>
      <c r="B3933" s="2" t="str">
        <f>"FES1162772587"</f>
        <v>FES1162772587</v>
      </c>
      <c r="C3933" s="2" t="s">
        <v>2356</v>
      </c>
      <c r="D3933" s="2">
        <v>1</v>
      </c>
      <c r="E3933" s="2" t="str">
        <f>"2170759454"</f>
        <v>2170759454</v>
      </c>
      <c r="F3933" s="2" t="s">
        <v>17</v>
      </c>
      <c r="G3933" s="2" t="s">
        <v>18</v>
      </c>
      <c r="H3933" s="2" t="s">
        <v>18</v>
      </c>
      <c r="I3933" s="2" t="s">
        <v>46</v>
      </c>
      <c r="J3933" s="2" t="s">
        <v>355</v>
      </c>
      <c r="K3933" s="2" t="s">
        <v>2384</v>
      </c>
      <c r="L3933" s="3">
        <v>0.4861111111111111</v>
      </c>
      <c r="M3933" s="2" t="s">
        <v>230</v>
      </c>
      <c r="N3933" s="2" t="s">
        <v>500</v>
      </c>
      <c r="O3933" s="2"/>
    </row>
    <row r="3934" spans="1:15" x14ac:dyDescent="0.25">
      <c r="A3934" s="2" t="s">
        <v>15</v>
      </c>
      <c r="B3934" s="2" t="str">
        <f>"FES1162772588"</f>
        <v>FES1162772588</v>
      </c>
      <c r="C3934" s="2" t="s">
        <v>2356</v>
      </c>
      <c r="D3934" s="2">
        <v>1</v>
      </c>
      <c r="E3934" s="2" t="str">
        <f>"2170759472"</f>
        <v>2170759472</v>
      </c>
      <c r="F3934" s="2" t="s">
        <v>17</v>
      </c>
      <c r="G3934" s="2" t="s">
        <v>18</v>
      </c>
      <c r="H3934" s="2" t="s">
        <v>18</v>
      </c>
      <c r="I3934" s="2" t="s">
        <v>46</v>
      </c>
      <c r="J3934" s="2" t="s">
        <v>896</v>
      </c>
      <c r="K3934" s="2" t="s">
        <v>2384</v>
      </c>
      <c r="L3934" s="3">
        <v>0.34375</v>
      </c>
      <c r="M3934" s="2" t="s">
        <v>2249</v>
      </c>
      <c r="N3934" s="2" t="s">
        <v>500</v>
      </c>
      <c r="O3934" s="2"/>
    </row>
    <row r="3935" spans="1:15" x14ac:dyDescent="0.25">
      <c r="A3935" s="2" t="s">
        <v>15</v>
      </c>
      <c r="B3935" s="2" t="str">
        <f>"FES1162772573"</f>
        <v>FES1162772573</v>
      </c>
      <c r="C3935" s="2" t="s">
        <v>2356</v>
      </c>
      <c r="D3935" s="2">
        <v>1</v>
      </c>
      <c r="E3935" s="2" t="str">
        <f>"2170758574"</f>
        <v>2170758574</v>
      </c>
      <c r="F3935" s="2" t="s">
        <v>17</v>
      </c>
      <c r="G3935" s="2" t="s">
        <v>18</v>
      </c>
      <c r="H3935" s="2" t="s">
        <v>18</v>
      </c>
      <c r="I3935" s="2" t="s">
        <v>63</v>
      </c>
      <c r="J3935" s="2" t="s">
        <v>93</v>
      </c>
      <c r="K3935" s="2" t="s">
        <v>2384</v>
      </c>
      <c r="L3935" s="3">
        <v>0.33333333333333331</v>
      </c>
      <c r="M3935" s="2" t="s">
        <v>736</v>
      </c>
      <c r="N3935" s="2" t="s">
        <v>500</v>
      </c>
      <c r="O3935" s="2"/>
    </row>
    <row r="3936" spans="1:15" x14ac:dyDescent="0.25">
      <c r="A3936" s="2" t="s">
        <v>15</v>
      </c>
      <c r="B3936" s="2" t="str">
        <f>"FES1162772578"</f>
        <v>FES1162772578</v>
      </c>
      <c r="C3936" s="2" t="s">
        <v>2356</v>
      </c>
      <c r="D3936" s="2">
        <v>1</v>
      </c>
      <c r="E3936" s="2" t="str">
        <f>"2170759464"</f>
        <v>2170759464</v>
      </c>
      <c r="F3936" s="2" t="s">
        <v>17</v>
      </c>
      <c r="G3936" s="2" t="s">
        <v>18</v>
      </c>
      <c r="H3936" s="2" t="s">
        <v>19</v>
      </c>
      <c r="I3936" s="2" t="s">
        <v>20</v>
      </c>
      <c r="J3936" s="2" t="s">
        <v>21</v>
      </c>
      <c r="K3936" s="2" t="s">
        <v>2384</v>
      </c>
      <c r="L3936" s="3">
        <v>0.39166666666666666</v>
      </c>
      <c r="M3936" s="2" t="s">
        <v>682</v>
      </c>
      <c r="N3936" s="2" t="s">
        <v>500</v>
      </c>
      <c r="O3936" s="2"/>
    </row>
    <row r="3937" spans="1:15" x14ac:dyDescent="0.25">
      <c r="A3937" s="2" t="s">
        <v>15</v>
      </c>
      <c r="B3937" s="2" t="str">
        <f>"FES1162772595"</f>
        <v>FES1162772595</v>
      </c>
      <c r="C3937" s="2" t="s">
        <v>2356</v>
      </c>
      <c r="D3937" s="2">
        <v>1</v>
      </c>
      <c r="E3937" s="2" t="str">
        <f>"2170759475"</f>
        <v>2170759475</v>
      </c>
      <c r="F3937" s="2" t="s">
        <v>480</v>
      </c>
      <c r="G3937" s="2" t="s">
        <v>206</v>
      </c>
      <c r="H3937" s="2" t="s">
        <v>206</v>
      </c>
      <c r="I3937" s="2" t="s">
        <v>116</v>
      </c>
      <c r="J3937" s="2" t="s">
        <v>169</v>
      </c>
      <c r="K3937" s="2" t="s">
        <v>2384</v>
      </c>
      <c r="L3937" s="3">
        <v>0.43055555555555558</v>
      </c>
      <c r="M3937" s="2" t="s">
        <v>213</v>
      </c>
      <c r="N3937" s="2" t="s">
        <v>500</v>
      </c>
      <c r="O3937" s="2"/>
    </row>
    <row r="3938" spans="1:15" x14ac:dyDescent="0.25">
      <c r="A3938" s="2" t="s">
        <v>15</v>
      </c>
      <c r="B3938" s="2" t="str">
        <f>"FES1162772593"</f>
        <v>FES1162772593</v>
      </c>
      <c r="C3938" s="2" t="s">
        <v>2356</v>
      </c>
      <c r="D3938" s="2">
        <v>1</v>
      </c>
      <c r="E3938" s="2" t="str">
        <f>"2170758521"</f>
        <v>2170758521</v>
      </c>
      <c r="F3938" s="2" t="s">
        <v>17</v>
      </c>
      <c r="G3938" s="2" t="s">
        <v>18</v>
      </c>
      <c r="H3938" s="2" t="s">
        <v>25</v>
      </c>
      <c r="I3938" s="2" t="s">
        <v>26</v>
      </c>
      <c r="J3938" s="2" t="s">
        <v>75</v>
      </c>
      <c r="K3938" s="2" t="s">
        <v>2384</v>
      </c>
      <c r="L3938" s="3">
        <v>0.35833333333333334</v>
      </c>
      <c r="M3938" s="2" t="s">
        <v>677</v>
      </c>
      <c r="N3938" s="2" t="s">
        <v>500</v>
      </c>
      <c r="O3938" s="2"/>
    </row>
    <row r="3939" spans="1:15" x14ac:dyDescent="0.25">
      <c r="A3939" s="22" t="s">
        <v>15</v>
      </c>
      <c r="B3939" s="22" t="str">
        <f>"FES1162772547"</f>
        <v>FES1162772547</v>
      </c>
      <c r="C3939" s="22" t="s">
        <v>2356</v>
      </c>
      <c r="D3939" s="22">
        <v>1</v>
      </c>
      <c r="E3939" s="22" t="str">
        <f>"2170757693"</f>
        <v>2170757693</v>
      </c>
      <c r="F3939" s="22" t="s">
        <v>17</v>
      </c>
      <c r="G3939" s="22" t="s">
        <v>18</v>
      </c>
      <c r="H3939" s="22" t="s">
        <v>19</v>
      </c>
      <c r="I3939" s="22" t="s">
        <v>20</v>
      </c>
      <c r="J3939" s="22" t="s">
        <v>1296</v>
      </c>
      <c r="K3939" s="22" t="s">
        <v>2490</v>
      </c>
      <c r="L3939" s="22"/>
      <c r="M3939" s="22" t="s">
        <v>23</v>
      </c>
      <c r="N3939" s="22" t="s">
        <v>175</v>
      </c>
      <c r="O3939" s="22"/>
    </row>
    <row r="3940" spans="1:15" x14ac:dyDescent="0.25">
      <c r="A3940" s="2" t="s">
        <v>15</v>
      </c>
      <c r="B3940" s="2" t="str">
        <f>"FES1162772606"</f>
        <v>FES1162772606</v>
      </c>
      <c r="C3940" s="2" t="s">
        <v>2356</v>
      </c>
      <c r="D3940" s="2">
        <v>1</v>
      </c>
      <c r="E3940" s="2" t="str">
        <f>"2170759491"</f>
        <v>2170759491</v>
      </c>
      <c r="F3940" s="2" t="s">
        <v>17</v>
      </c>
      <c r="G3940" s="2" t="s">
        <v>18</v>
      </c>
      <c r="H3940" s="2" t="s">
        <v>36</v>
      </c>
      <c r="I3940" s="2" t="s">
        <v>37</v>
      </c>
      <c r="J3940" s="2" t="s">
        <v>378</v>
      </c>
      <c r="K3940" s="2" t="s">
        <v>2384</v>
      </c>
      <c r="L3940" s="3">
        <v>0.47569444444444442</v>
      </c>
      <c r="M3940" s="2" t="s">
        <v>2100</v>
      </c>
      <c r="N3940" s="2" t="s">
        <v>500</v>
      </c>
      <c r="O3940" s="2"/>
    </row>
    <row r="3941" spans="1:15" x14ac:dyDescent="0.25">
      <c r="A3941" s="2" t="s">
        <v>15</v>
      </c>
      <c r="B3941" s="2" t="str">
        <f>"FES1162772601"</f>
        <v>FES1162772601</v>
      </c>
      <c r="C3941" s="2" t="s">
        <v>2356</v>
      </c>
      <c r="D3941" s="2">
        <v>1</v>
      </c>
      <c r="E3941" s="2" t="str">
        <f>"2170759486"</f>
        <v>2170759486</v>
      </c>
      <c r="F3941" s="2" t="s">
        <v>17</v>
      </c>
      <c r="G3941" s="2" t="s">
        <v>18</v>
      </c>
      <c r="H3941" s="2" t="s">
        <v>78</v>
      </c>
      <c r="I3941" s="2" t="s">
        <v>79</v>
      </c>
      <c r="J3941" s="2" t="s">
        <v>80</v>
      </c>
      <c r="K3941" s="2" t="s">
        <v>2384</v>
      </c>
      <c r="L3941" s="3">
        <v>0.41666666666666669</v>
      </c>
      <c r="M3941" s="2" t="s">
        <v>199</v>
      </c>
      <c r="N3941" s="2" t="s">
        <v>500</v>
      </c>
      <c r="O3941" s="2"/>
    </row>
    <row r="3942" spans="1:15" x14ac:dyDescent="0.25">
      <c r="A3942" s="2" t="s">
        <v>15</v>
      </c>
      <c r="B3942" s="2" t="str">
        <f>"009940283629"</f>
        <v>009940283629</v>
      </c>
      <c r="C3942" s="2" t="s">
        <v>2356</v>
      </c>
      <c r="D3942" s="2">
        <v>1</v>
      </c>
      <c r="E3942" s="2" t="str">
        <f>"1162770755"</f>
        <v>1162770755</v>
      </c>
      <c r="F3942" s="2" t="s">
        <v>17</v>
      </c>
      <c r="G3942" s="2" t="s">
        <v>18</v>
      </c>
      <c r="H3942" s="2" t="s">
        <v>18</v>
      </c>
      <c r="I3942" s="2" t="s">
        <v>63</v>
      </c>
      <c r="J3942" s="2" t="s">
        <v>1805</v>
      </c>
      <c r="K3942" s="2" t="s">
        <v>2384</v>
      </c>
      <c r="L3942" s="3">
        <v>0.41666666666666669</v>
      </c>
      <c r="M3942" s="2" t="s">
        <v>1343</v>
      </c>
      <c r="N3942" s="2" t="s">
        <v>500</v>
      </c>
      <c r="O3942" s="2"/>
    </row>
    <row r="3943" spans="1:15" x14ac:dyDescent="0.25">
      <c r="A3943" s="2" t="s">
        <v>15</v>
      </c>
      <c r="B3943" s="2" t="str">
        <f>"FES1162772608"</f>
        <v>FES1162772608</v>
      </c>
      <c r="C3943" s="2" t="s">
        <v>2356</v>
      </c>
      <c r="D3943" s="2">
        <v>1</v>
      </c>
      <c r="E3943" s="2" t="str">
        <f>"2170759493"</f>
        <v>2170759493</v>
      </c>
      <c r="F3943" s="2" t="s">
        <v>17</v>
      </c>
      <c r="G3943" s="2" t="s">
        <v>18</v>
      </c>
      <c r="H3943" s="2" t="s">
        <v>36</v>
      </c>
      <c r="I3943" s="2" t="s">
        <v>37</v>
      </c>
      <c r="J3943" s="2" t="s">
        <v>378</v>
      </c>
      <c r="K3943" s="2" t="s">
        <v>2384</v>
      </c>
      <c r="L3943" s="3">
        <v>0.42638888888888887</v>
      </c>
      <c r="M3943" s="2" t="s">
        <v>2100</v>
      </c>
      <c r="N3943" s="2" t="s">
        <v>500</v>
      </c>
      <c r="O3943" s="2"/>
    </row>
    <row r="3944" spans="1:15" x14ac:dyDescent="0.25">
      <c r="A3944" s="2" t="s">
        <v>15</v>
      </c>
      <c r="B3944" s="2" t="str">
        <f>"FES1162772609"</f>
        <v>FES1162772609</v>
      </c>
      <c r="C3944" s="2" t="s">
        <v>2356</v>
      </c>
      <c r="D3944" s="2">
        <v>1</v>
      </c>
      <c r="E3944" s="2" t="str">
        <f>"2170759494"</f>
        <v>2170759494</v>
      </c>
      <c r="F3944" s="2" t="s">
        <v>17</v>
      </c>
      <c r="G3944" s="2" t="s">
        <v>18</v>
      </c>
      <c r="H3944" s="2" t="s">
        <v>18</v>
      </c>
      <c r="I3944" s="2" t="s">
        <v>63</v>
      </c>
      <c r="J3944" s="2" t="s">
        <v>2437</v>
      </c>
      <c r="K3944" s="2" t="s">
        <v>2384</v>
      </c>
      <c r="L3944" s="3">
        <v>0.4375</v>
      </c>
      <c r="M3944" s="2" t="s">
        <v>1856</v>
      </c>
      <c r="N3944" s="2" t="s">
        <v>500</v>
      </c>
      <c r="O3944" s="2"/>
    </row>
    <row r="3945" spans="1:15" x14ac:dyDescent="0.25">
      <c r="A3945" s="2" t="s">
        <v>15</v>
      </c>
      <c r="B3945" s="2" t="str">
        <f>"FES1162772605"</f>
        <v>FES1162772605</v>
      </c>
      <c r="C3945" s="2" t="s">
        <v>2356</v>
      </c>
      <c r="D3945" s="2">
        <v>1</v>
      </c>
      <c r="E3945" s="2" t="str">
        <f>"2170759488"</f>
        <v>2170759488</v>
      </c>
      <c r="F3945" s="2" t="s">
        <v>480</v>
      </c>
      <c r="G3945" s="2" t="s">
        <v>206</v>
      </c>
      <c r="H3945" s="2" t="s">
        <v>206</v>
      </c>
      <c r="I3945" s="2" t="s">
        <v>52</v>
      </c>
      <c r="J3945" s="2" t="s">
        <v>643</v>
      </c>
      <c r="K3945" s="2" t="s">
        <v>2384</v>
      </c>
      <c r="L3945" s="3">
        <v>0.4375</v>
      </c>
      <c r="M3945" s="2" t="s">
        <v>2489</v>
      </c>
      <c r="N3945" s="2" t="s">
        <v>500</v>
      </c>
      <c r="O3945" s="2"/>
    </row>
    <row r="3946" spans="1:15" x14ac:dyDescent="0.25">
      <c r="A3946" s="22" t="s">
        <v>15</v>
      </c>
      <c r="B3946" s="22" t="str">
        <f>"FES1162772610"</f>
        <v>FES1162772610</v>
      </c>
      <c r="C3946" s="22" t="s">
        <v>2356</v>
      </c>
      <c r="D3946" s="22">
        <v>1</v>
      </c>
      <c r="E3946" s="22" t="str">
        <f>"2170758944"</f>
        <v>2170758944</v>
      </c>
      <c r="F3946" s="22" t="s">
        <v>17</v>
      </c>
      <c r="G3946" s="22" t="s">
        <v>18</v>
      </c>
      <c r="H3946" s="22" t="s">
        <v>36</v>
      </c>
      <c r="I3946" s="22" t="s">
        <v>1129</v>
      </c>
      <c r="J3946" s="22" t="s">
        <v>1130</v>
      </c>
      <c r="K3946" s="22" t="s">
        <v>2490</v>
      </c>
      <c r="L3946" s="22"/>
      <c r="M3946" s="22" t="s">
        <v>23</v>
      </c>
      <c r="N3946" s="22" t="s">
        <v>175</v>
      </c>
      <c r="O3946" s="22" t="s">
        <v>2222</v>
      </c>
    </row>
    <row r="3947" spans="1:15" x14ac:dyDescent="0.25">
      <c r="A3947" s="21" t="s">
        <v>15</v>
      </c>
      <c r="B3947" s="21" t="str">
        <f>"FES1162772590"</f>
        <v>FES1162772590</v>
      </c>
      <c r="C3947" s="21" t="s">
        <v>2356</v>
      </c>
      <c r="D3947" s="21">
        <v>1</v>
      </c>
      <c r="E3947" s="21" t="str">
        <f>"2170756766"</f>
        <v>2170756766</v>
      </c>
      <c r="F3947" s="21" t="s">
        <v>480</v>
      </c>
      <c r="G3947" s="21" t="s">
        <v>206</v>
      </c>
      <c r="H3947" s="21" t="s">
        <v>206</v>
      </c>
      <c r="I3947" s="21" t="s">
        <v>50</v>
      </c>
      <c r="J3947" s="21" t="s">
        <v>2438</v>
      </c>
      <c r="K3947" s="21" t="s">
        <v>2520</v>
      </c>
      <c r="L3947" s="21"/>
      <c r="M3947" s="21" t="s">
        <v>23</v>
      </c>
      <c r="N3947" s="21" t="s">
        <v>24</v>
      </c>
      <c r="O3947" s="21"/>
    </row>
    <row r="3948" spans="1:15" x14ac:dyDescent="0.25">
      <c r="A3948" s="22" t="s">
        <v>15</v>
      </c>
      <c r="B3948" s="22" t="str">
        <f>"FES1162772602"</f>
        <v>FES1162772602</v>
      </c>
      <c r="C3948" s="22" t="s">
        <v>2356</v>
      </c>
      <c r="D3948" s="22">
        <v>1</v>
      </c>
      <c r="E3948" s="22" t="str">
        <f>"2170755949"</f>
        <v>2170755949</v>
      </c>
      <c r="F3948" s="22" t="s">
        <v>205</v>
      </c>
      <c r="G3948" s="22" t="s">
        <v>206</v>
      </c>
      <c r="H3948" s="22" t="s">
        <v>25</v>
      </c>
      <c r="I3948" s="22" t="s">
        <v>26</v>
      </c>
      <c r="J3948" s="22" t="s">
        <v>628</v>
      </c>
      <c r="K3948" s="22" t="s">
        <v>2490</v>
      </c>
      <c r="L3948" s="22"/>
      <c r="M3948" s="22" t="s">
        <v>23</v>
      </c>
      <c r="N3948" s="22" t="s">
        <v>175</v>
      </c>
      <c r="O3948" s="22"/>
    </row>
    <row r="3949" spans="1:15" x14ac:dyDescent="0.25">
      <c r="A3949" s="2" t="s">
        <v>15</v>
      </c>
      <c r="B3949" s="2" t="str">
        <f>"FES1162772612"</f>
        <v>FES1162772612</v>
      </c>
      <c r="C3949" s="2" t="s">
        <v>2356</v>
      </c>
      <c r="D3949" s="2">
        <v>1</v>
      </c>
      <c r="E3949" s="2" t="str">
        <f>"2170759502"</f>
        <v>2170759502</v>
      </c>
      <c r="F3949" s="2" t="s">
        <v>17</v>
      </c>
      <c r="G3949" s="2" t="s">
        <v>18</v>
      </c>
      <c r="H3949" s="2" t="s">
        <v>78</v>
      </c>
      <c r="I3949" s="2" t="s">
        <v>79</v>
      </c>
      <c r="J3949" s="2" t="s">
        <v>81</v>
      </c>
      <c r="K3949" s="2" t="s">
        <v>2384</v>
      </c>
      <c r="L3949" s="3">
        <v>0.34861111111111115</v>
      </c>
      <c r="M3949" s="2" t="s">
        <v>991</v>
      </c>
      <c r="N3949" s="2" t="s">
        <v>500</v>
      </c>
      <c r="O3949" s="2"/>
    </row>
    <row r="3950" spans="1:15" x14ac:dyDescent="0.25">
      <c r="A3950" s="2" t="s">
        <v>15</v>
      </c>
      <c r="B3950" s="2" t="str">
        <f>"FES1162770506"</f>
        <v>FES1162770506</v>
      </c>
      <c r="C3950" s="2" t="s">
        <v>2356</v>
      </c>
      <c r="D3950" s="2">
        <v>1</v>
      </c>
      <c r="E3950" s="2" t="str">
        <f>"2170754485"</f>
        <v>2170754485</v>
      </c>
      <c r="F3950" s="2" t="s">
        <v>17</v>
      </c>
      <c r="G3950" s="2" t="s">
        <v>18</v>
      </c>
      <c r="H3950" s="2" t="s">
        <v>19</v>
      </c>
      <c r="I3950" s="2" t="s">
        <v>111</v>
      </c>
      <c r="J3950" s="2" t="s">
        <v>405</v>
      </c>
      <c r="K3950" s="2" t="s">
        <v>2384</v>
      </c>
      <c r="L3950" s="3">
        <v>0.34791666666666665</v>
      </c>
      <c r="M3950" s="2" t="s">
        <v>714</v>
      </c>
      <c r="N3950" s="2" t="s">
        <v>500</v>
      </c>
      <c r="O3950" s="2"/>
    </row>
    <row r="3951" spans="1:15" x14ac:dyDescent="0.25">
      <c r="A3951" s="2" t="s">
        <v>15</v>
      </c>
      <c r="B3951" s="2" t="str">
        <f>"FES1162772618"</f>
        <v>FES1162772618</v>
      </c>
      <c r="C3951" s="2" t="s">
        <v>2356</v>
      </c>
      <c r="D3951" s="2">
        <v>1</v>
      </c>
      <c r="E3951" s="2" t="str">
        <f>"2170759501"</f>
        <v>2170759501</v>
      </c>
      <c r="F3951" s="2" t="s">
        <v>17</v>
      </c>
      <c r="G3951" s="2" t="s">
        <v>18</v>
      </c>
      <c r="H3951" s="2" t="s">
        <v>18</v>
      </c>
      <c r="I3951" s="2" t="s">
        <v>82</v>
      </c>
      <c r="J3951" s="2" t="s">
        <v>83</v>
      </c>
      <c r="K3951" s="2" t="s">
        <v>2384</v>
      </c>
      <c r="L3951" s="3">
        <v>0.35347222222222219</v>
      </c>
      <c r="M3951" s="2" t="s">
        <v>2491</v>
      </c>
      <c r="N3951" s="2" t="s">
        <v>500</v>
      </c>
      <c r="O3951" s="2"/>
    </row>
    <row r="3952" spans="1:15" x14ac:dyDescent="0.25">
      <c r="A3952" s="2" t="s">
        <v>15</v>
      </c>
      <c r="B3952" s="2" t="str">
        <f>"FES1162772613"</f>
        <v>FES1162772613</v>
      </c>
      <c r="C3952" s="2" t="s">
        <v>2356</v>
      </c>
      <c r="D3952" s="2">
        <v>1</v>
      </c>
      <c r="E3952" s="2" t="str">
        <f>"2170759504"</f>
        <v>2170759504</v>
      </c>
      <c r="F3952" s="2" t="s">
        <v>17</v>
      </c>
      <c r="G3952" s="2" t="s">
        <v>18</v>
      </c>
      <c r="H3952" s="2" t="s">
        <v>36</v>
      </c>
      <c r="I3952" s="2" t="s">
        <v>37</v>
      </c>
      <c r="J3952" s="2" t="s">
        <v>162</v>
      </c>
      <c r="K3952" s="2" t="s">
        <v>2384</v>
      </c>
      <c r="L3952" s="3">
        <v>0.3576388888888889</v>
      </c>
      <c r="M3952" s="2" t="s">
        <v>268</v>
      </c>
      <c r="N3952" s="2" t="s">
        <v>500</v>
      </c>
      <c r="O3952" s="2"/>
    </row>
    <row r="3953" spans="1:15" x14ac:dyDescent="0.25">
      <c r="A3953" s="2" t="s">
        <v>15</v>
      </c>
      <c r="B3953" s="2" t="str">
        <f>"FES1162772615"</f>
        <v>FES1162772615</v>
      </c>
      <c r="C3953" s="2" t="s">
        <v>2356</v>
      </c>
      <c r="D3953" s="2">
        <v>1</v>
      </c>
      <c r="E3953" s="2" t="str">
        <f>"2170758186"</f>
        <v>2170758186</v>
      </c>
      <c r="F3953" s="2" t="s">
        <v>17</v>
      </c>
      <c r="G3953" s="2" t="s">
        <v>18</v>
      </c>
      <c r="H3953" s="2" t="s">
        <v>25</v>
      </c>
      <c r="I3953" s="2" t="s">
        <v>26</v>
      </c>
      <c r="J3953" s="2" t="s">
        <v>2297</v>
      </c>
      <c r="K3953" s="2" t="s">
        <v>2384</v>
      </c>
      <c r="L3953" s="3">
        <v>0.42083333333333334</v>
      </c>
      <c r="M3953" s="2" t="s">
        <v>2336</v>
      </c>
      <c r="N3953" s="2" t="s">
        <v>500</v>
      </c>
      <c r="O3953" s="2"/>
    </row>
    <row r="3954" spans="1:15" x14ac:dyDescent="0.25">
      <c r="A3954" s="22" t="s">
        <v>15</v>
      </c>
      <c r="B3954" s="22" t="str">
        <f>"FES1162772617"</f>
        <v>FES1162772617</v>
      </c>
      <c r="C3954" s="22" t="s">
        <v>2356</v>
      </c>
      <c r="D3954" s="22">
        <v>1</v>
      </c>
      <c r="E3954" s="22" t="str">
        <f>"2170759199"</f>
        <v>2170759199</v>
      </c>
      <c r="F3954" s="22" t="s">
        <v>17</v>
      </c>
      <c r="G3954" s="22" t="s">
        <v>18</v>
      </c>
      <c r="H3954" s="22" t="s">
        <v>25</v>
      </c>
      <c r="I3954" s="22" t="s">
        <v>624</v>
      </c>
      <c r="J3954" s="22" t="s">
        <v>2439</v>
      </c>
      <c r="K3954" s="22" t="s">
        <v>2490</v>
      </c>
      <c r="L3954" s="22"/>
      <c r="M3954" s="22" t="s">
        <v>23</v>
      </c>
      <c r="N3954" s="22" t="s">
        <v>175</v>
      </c>
      <c r="O3954" s="22"/>
    </row>
    <row r="3955" spans="1:15" x14ac:dyDescent="0.25">
      <c r="A3955" s="2" t="s">
        <v>15</v>
      </c>
      <c r="B3955" s="2" t="str">
        <f>"FES1162772614"</f>
        <v>FES1162772614</v>
      </c>
      <c r="C3955" s="2" t="s">
        <v>2356</v>
      </c>
      <c r="D3955" s="2">
        <v>1</v>
      </c>
      <c r="E3955" s="2" t="str">
        <f>"2170759171"</f>
        <v>2170759171</v>
      </c>
      <c r="F3955" s="2" t="s">
        <v>17</v>
      </c>
      <c r="G3955" s="2" t="s">
        <v>18</v>
      </c>
      <c r="H3955" s="2" t="s">
        <v>18</v>
      </c>
      <c r="I3955" s="2" t="s">
        <v>290</v>
      </c>
      <c r="J3955" s="2" t="s">
        <v>1309</v>
      </c>
      <c r="K3955" s="2" t="s">
        <v>2384</v>
      </c>
      <c r="L3955" s="3">
        <v>0.375</v>
      </c>
      <c r="M3955" s="2" t="s">
        <v>2422</v>
      </c>
      <c r="N3955" s="2" t="s">
        <v>500</v>
      </c>
      <c r="O3955" s="2"/>
    </row>
    <row r="3956" spans="1:15" x14ac:dyDescent="0.25">
      <c r="A3956" s="2" t="s">
        <v>15</v>
      </c>
      <c r="B3956" s="2" t="str">
        <f>"FES1162772616"</f>
        <v>FES1162772616</v>
      </c>
      <c r="C3956" s="2" t="s">
        <v>2356</v>
      </c>
      <c r="D3956" s="2">
        <v>1</v>
      </c>
      <c r="E3956" s="2" t="str">
        <f>"2170758858"</f>
        <v>2170758858</v>
      </c>
      <c r="F3956" s="2" t="s">
        <v>17</v>
      </c>
      <c r="G3956" s="2" t="s">
        <v>18</v>
      </c>
      <c r="H3956" s="2" t="s">
        <v>18</v>
      </c>
      <c r="I3956" s="2" t="s">
        <v>116</v>
      </c>
      <c r="J3956" s="2" t="s">
        <v>2440</v>
      </c>
      <c r="K3956" s="2" t="s">
        <v>2384</v>
      </c>
      <c r="L3956" s="3">
        <v>0.4375</v>
      </c>
      <c r="M3956" s="2" t="s">
        <v>2492</v>
      </c>
      <c r="N3956" s="2" t="s">
        <v>500</v>
      </c>
      <c r="O3956" s="2"/>
    </row>
    <row r="3957" spans="1:15" x14ac:dyDescent="0.25">
      <c r="A3957" s="2" t="s">
        <v>15</v>
      </c>
      <c r="B3957" s="2" t="str">
        <f>"FES1162772766"</f>
        <v>FES1162772766</v>
      </c>
      <c r="C3957" s="2" t="s">
        <v>2384</v>
      </c>
      <c r="D3957" s="2">
        <v>1</v>
      </c>
      <c r="E3957" s="2" t="str">
        <f>"2170757737"</f>
        <v>2170757737</v>
      </c>
      <c r="F3957" s="2" t="s">
        <v>17</v>
      </c>
      <c r="G3957" s="2" t="s">
        <v>18</v>
      </c>
      <c r="H3957" s="2" t="s">
        <v>18</v>
      </c>
      <c r="I3957" s="2" t="s">
        <v>46</v>
      </c>
      <c r="J3957" s="2" t="s">
        <v>285</v>
      </c>
      <c r="K3957" s="2" t="s">
        <v>2490</v>
      </c>
      <c r="L3957" s="3">
        <v>0.29166666666666669</v>
      </c>
      <c r="M3957" s="2" t="s">
        <v>777</v>
      </c>
      <c r="N3957" s="2" t="s">
        <v>500</v>
      </c>
      <c r="O3957" s="2"/>
    </row>
    <row r="3958" spans="1:15" x14ac:dyDescent="0.25">
      <c r="A3958" s="2" t="s">
        <v>15</v>
      </c>
      <c r="B3958" s="2" t="str">
        <f>"FES1162772875"</f>
        <v>FES1162772875</v>
      </c>
      <c r="C3958" s="2" t="s">
        <v>2384</v>
      </c>
      <c r="D3958" s="2">
        <v>1</v>
      </c>
      <c r="E3958" s="2" t="str">
        <f>"2170758065"</f>
        <v>2170758065</v>
      </c>
      <c r="F3958" s="2" t="s">
        <v>17</v>
      </c>
      <c r="G3958" s="2" t="s">
        <v>18</v>
      </c>
      <c r="H3958" s="2" t="s">
        <v>18</v>
      </c>
      <c r="I3958" s="2" t="s">
        <v>57</v>
      </c>
      <c r="J3958" s="2" t="s">
        <v>1616</v>
      </c>
      <c r="K3958" s="2" t="s">
        <v>2490</v>
      </c>
      <c r="L3958" s="3">
        <v>0.35000000000000003</v>
      </c>
      <c r="M3958" s="2" t="s">
        <v>2516</v>
      </c>
      <c r="N3958" s="2" t="s">
        <v>500</v>
      </c>
      <c r="O3958" s="2"/>
    </row>
    <row r="3959" spans="1:15" x14ac:dyDescent="0.25">
      <c r="A3959" s="2" t="s">
        <v>15</v>
      </c>
      <c r="B3959" s="2" t="str">
        <f>"FES1162772866"</f>
        <v>FES1162772866</v>
      </c>
      <c r="C3959" s="2" t="s">
        <v>2384</v>
      </c>
      <c r="D3959" s="2">
        <v>1</v>
      </c>
      <c r="E3959" s="2" t="str">
        <f>"2170757984"</f>
        <v>2170757984</v>
      </c>
      <c r="F3959" s="2" t="s">
        <v>17</v>
      </c>
      <c r="G3959" s="2" t="s">
        <v>18</v>
      </c>
      <c r="H3959" s="2" t="s">
        <v>33</v>
      </c>
      <c r="I3959" s="2" t="s">
        <v>34</v>
      </c>
      <c r="J3959" s="2" t="s">
        <v>2362</v>
      </c>
      <c r="K3959" s="2" t="s">
        <v>2490</v>
      </c>
      <c r="L3959" s="3">
        <v>0.41805555555555557</v>
      </c>
      <c r="M3959" s="2" t="s">
        <v>2387</v>
      </c>
      <c r="N3959" s="2" t="s">
        <v>500</v>
      </c>
      <c r="O3959" s="2"/>
    </row>
    <row r="3960" spans="1:15" x14ac:dyDescent="0.25">
      <c r="A3960" s="2" t="s">
        <v>15</v>
      </c>
      <c r="B3960" s="2" t="str">
        <f>"FES1162772748"</f>
        <v>FES1162772748</v>
      </c>
      <c r="C3960" s="2" t="s">
        <v>2384</v>
      </c>
      <c r="D3960" s="2">
        <v>1</v>
      </c>
      <c r="E3960" s="2" t="str">
        <f>"2170756661"</f>
        <v>2170756661</v>
      </c>
      <c r="F3960" s="2" t="s">
        <v>17</v>
      </c>
      <c r="G3960" s="2" t="s">
        <v>18</v>
      </c>
      <c r="H3960" s="2" t="s">
        <v>33</v>
      </c>
      <c r="I3960" s="2" t="s">
        <v>34</v>
      </c>
      <c r="J3960" s="2" t="s">
        <v>2362</v>
      </c>
      <c r="K3960" s="2" t="s">
        <v>2490</v>
      </c>
      <c r="L3960" s="3">
        <v>0.41736111111111113</v>
      </c>
      <c r="M3960" s="2" t="s">
        <v>2387</v>
      </c>
      <c r="N3960" s="2" t="s">
        <v>500</v>
      </c>
      <c r="O3960" s="2"/>
    </row>
    <row r="3961" spans="1:15" x14ac:dyDescent="0.25">
      <c r="A3961" s="2" t="s">
        <v>15</v>
      </c>
      <c r="B3961" s="2" t="str">
        <f>"FES1162772894"</f>
        <v>FES1162772894</v>
      </c>
      <c r="C3961" s="2" t="s">
        <v>2384</v>
      </c>
      <c r="D3961" s="2">
        <v>1</v>
      </c>
      <c r="E3961" s="2" t="str">
        <f>"2170759647"</f>
        <v>2170759647</v>
      </c>
      <c r="F3961" s="2" t="s">
        <v>17</v>
      </c>
      <c r="G3961" s="2" t="s">
        <v>18</v>
      </c>
      <c r="H3961" s="2" t="s">
        <v>19</v>
      </c>
      <c r="I3961" s="2" t="s">
        <v>111</v>
      </c>
      <c r="J3961" s="2" t="s">
        <v>385</v>
      </c>
      <c r="K3961" s="2" t="s">
        <v>2490</v>
      </c>
      <c r="L3961" s="3">
        <v>0.49791666666666662</v>
      </c>
      <c r="M3961" s="2" t="s">
        <v>2105</v>
      </c>
      <c r="N3961" s="2" t="s">
        <v>500</v>
      </c>
      <c r="O3961" s="2"/>
    </row>
    <row r="3962" spans="1:15" x14ac:dyDescent="0.25">
      <c r="A3962" s="2" t="s">
        <v>15</v>
      </c>
      <c r="B3962" s="2" t="str">
        <f>"FES1162772879"</f>
        <v>FES1162772879</v>
      </c>
      <c r="C3962" s="2" t="s">
        <v>2384</v>
      </c>
      <c r="D3962" s="2">
        <v>1</v>
      </c>
      <c r="E3962" s="2" t="str">
        <f>"2170758107"</f>
        <v>2170758107</v>
      </c>
      <c r="F3962" s="2" t="s">
        <v>17</v>
      </c>
      <c r="G3962" s="2" t="s">
        <v>18</v>
      </c>
      <c r="H3962" s="2" t="s">
        <v>25</v>
      </c>
      <c r="I3962" s="2" t="s">
        <v>39</v>
      </c>
      <c r="J3962" s="2" t="s">
        <v>40</v>
      </c>
      <c r="K3962" s="2" t="s">
        <v>2490</v>
      </c>
      <c r="L3962" s="3">
        <v>0.41666666666666669</v>
      </c>
      <c r="M3962" s="2" t="s">
        <v>991</v>
      </c>
      <c r="N3962" s="2" t="s">
        <v>500</v>
      </c>
      <c r="O3962" s="2"/>
    </row>
    <row r="3963" spans="1:15" x14ac:dyDescent="0.25">
      <c r="A3963" s="22" t="s">
        <v>15</v>
      </c>
      <c r="B3963" s="22" t="str">
        <f>"FES1162772842"</f>
        <v>FES1162772842</v>
      </c>
      <c r="C3963" s="22" t="s">
        <v>2384</v>
      </c>
      <c r="D3963" s="22">
        <v>1</v>
      </c>
      <c r="E3963" s="22" t="str">
        <f>"2170757752"</f>
        <v>2170757752</v>
      </c>
      <c r="F3963" s="22" t="s">
        <v>17</v>
      </c>
      <c r="G3963" s="22" t="s">
        <v>18</v>
      </c>
      <c r="H3963" s="22" t="s">
        <v>30</v>
      </c>
      <c r="I3963" s="22" t="s">
        <v>147</v>
      </c>
      <c r="J3963" s="22" t="s">
        <v>148</v>
      </c>
      <c r="K3963" s="22" t="s">
        <v>2490</v>
      </c>
      <c r="L3963" s="22"/>
      <c r="M3963" s="22" t="s">
        <v>23</v>
      </c>
      <c r="N3963" s="22" t="s">
        <v>175</v>
      </c>
      <c r="O3963" s="22" t="s">
        <v>2222</v>
      </c>
    </row>
    <row r="3964" spans="1:15" x14ac:dyDescent="0.25">
      <c r="A3964" s="2" t="s">
        <v>15</v>
      </c>
      <c r="B3964" s="2" t="str">
        <f>"FES1162772765"</f>
        <v>FES1162772765</v>
      </c>
      <c r="C3964" s="2" t="s">
        <v>2384</v>
      </c>
      <c r="D3964" s="2">
        <v>1</v>
      </c>
      <c r="E3964" s="2" t="str">
        <f>"2170757732"</f>
        <v>2170757732</v>
      </c>
      <c r="F3964" s="2" t="s">
        <v>17</v>
      </c>
      <c r="G3964" s="2" t="s">
        <v>18</v>
      </c>
      <c r="H3964" s="2" t="s">
        <v>25</v>
      </c>
      <c r="I3964" s="2" t="s">
        <v>26</v>
      </c>
      <c r="J3964" s="2" t="s">
        <v>1288</v>
      </c>
      <c r="K3964" s="2" t="s">
        <v>2490</v>
      </c>
      <c r="L3964" s="3">
        <v>0.4145833333333333</v>
      </c>
      <c r="M3964" s="2" t="s">
        <v>2517</v>
      </c>
      <c r="N3964" s="2" t="s">
        <v>500</v>
      </c>
      <c r="O3964" s="2"/>
    </row>
    <row r="3965" spans="1:15" x14ac:dyDescent="0.25">
      <c r="A3965" s="2" t="s">
        <v>15</v>
      </c>
      <c r="B3965" s="2" t="str">
        <f>"FES1162772910"</f>
        <v>FES1162772910</v>
      </c>
      <c r="C3965" s="2" t="s">
        <v>2384</v>
      </c>
      <c r="D3965" s="2">
        <v>1</v>
      </c>
      <c r="E3965" s="2" t="str">
        <f>"2170759571"</f>
        <v>2170759571</v>
      </c>
      <c r="F3965" s="2" t="s">
        <v>17</v>
      </c>
      <c r="G3965" s="2" t="s">
        <v>18</v>
      </c>
      <c r="H3965" s="2" t="s">
        <v>19</v>
      </c>
      <c r="I3965" s="2" t="s">
        <v>73</v>
      </c>
      <c r="J3965" s="2" t="s">
        <v>2493</v>
      </c>
      <c r="K3965" s="2" t="s">
        <v>2490</v>
      </c>
      <c r="L3965" s="3">
        <v>0.42083333333333334</v>
      </c>
      <c r="M3965" s="2" t="s">
        <v>2518</v>
      </c>
      <c r="N3965" s="2" t="s">
        <v>500</v>
      </c>
      <c r="O3965" s="2"/>
    </row>
    <row r="3966" spans="1:15" x14ac:dyDescent="0.25">
      <c r="A3966" s="2" t="s">
        <v>15</v>
      </c>
      <c r="B3966" s="2" t="str">
        <f>"FES1162772897"</f>
        <v>FES1162772897</v>
      </c>
      <c r="C3966" s="2" t="s">
        <v>2384</v>
      </c>
      <c r="D3966" s="2">
        <v>1</v>
      </c>
      <c r="E3966" s="2" t="str">
        <f>"2170759650"</f>
        <v>2170759650</v>
      </c>
      <c r="F3966" s="2" t="s">
        <v>17</v>
      </c>
      <c r="G3966" s="2" t="s">
        <v>18</v>
      </c>
      <c r="H3966" s="2" t="s">
        <v>18</v>
      </c>
      <c r="I3966" s="2" t="s">
        <v>290</v>
      </c>
      <c r="J3966" s="2" t="s">
        <v>492</v>
      </c>
      <c r="K3966" s="2" t="s">
        <v>2490</v>
      </c>
      <c r="L3966" s="3">
        <v>0.33333333333333331</v>
      </c>
      <c r="M3966" s="2" t="s">
        <v>2519</v>
      </c>
      <c r="N3966" s="2" t="s">
        <v>500</v>
      </c>
      <c r="O3966" s="2"/>
    </row>
    <row r="3967" spans="1:15" x14ac:dyDescent="0.25">
      <c r="A3967" s="2" t="s">
        <v>15</v>
      </c>
      <c r="B3967" s="2" t="str">
        <f>"FES1162772888"</f>
        <v>FES1162772888</v>
      </c>
      <c r="C3967" s="2" t="s">
        <v>2384</v>
      </c>
      <c r="D3967" s="2">
        <v>1</v>
      </c>
      <c r="E3967" s="2" t="str">
        <f>"2170759617"</f>
        <v>2170759617</v>
      </c>
      <c r="F3967" s="2" t="s">
        <v>17</v>
      </c>
      <c r="G3967" s="2" t="s">
        <v>18</v>
      </c>
      <c r="H3967" s="2" t="s">
        <v>18</v>
      </c>
      <c r="I3967" s="2" t="s">
        <v>46</v>
      </c>
      <c r="J3967" s="2" t="s">
        <v>2361</v>
      </c>
      <c r="K3967" s="2" t="s">
        <v>2490</v>
      </c>
      <c r="L3967" s="3">
        <v>0.34375</v>
      </c>
      <c r="M3967" s="2" t="s">
        <v>1371</v>
      </c>
      <c r="N3967" s="2" t="s">
        <v>500</v>
      </c>
      <c r="O3967" s="2"/>
    </row>
    <row r="3968" spans="1:15" x14ac:dyDescent="0.25">
      <c r="A3968" s="2" t="s">
        <v>15</v>
      </c>
      <c r="B3968" s="2" t="str">
        <f>"FES1162772820"</f>
        <v>FES1162772820</v>
      </c>
      <c r="C3968" s="2" t="s">
        <v>2384</v>
      </c>
      <c r="D3968" s="2">
        <v>1</v>
      </c>
      <c r="E3968" s="2" t="str">
        <f>"2170757365"</f>
        <v>2170757365</v>
      </c>
      <c r="F3968" s="2" t="s">
        <v>17</v>
      </c>
      <c r="G3968" s="2" t="s">
        <v>18</v>
      </c>
      <c r="H3968" s="2" t="s">
        <v>18</v>
      </c>
      <c r="I3968" s="2" t="s">
        <v>46</v>
      </c>
      <c r="J3968" s="2" t="s">
        <v>2494</v>
      </c>
      <c r="K3968" s="2" t="s">
        <v>2490</v>
      </c>
      <c r="L3968" s="3">
        <v>0.3263888888888889</v>
      </c>
      <c r="M3968" s="2" t="s">
        <v>171</v>
      </c>
      <c r="N3968" s="2" t="s">
        <v>500</v>
      </c>
      <c r="O3968" s="2"/>
    </row>
    <row r="3969" spans="1:15" x14ac:dyDescent="0.25">
      <c r="A3969" s="22" t="s">
        <v>15</v>
      </c>
      <c r="B3969" s="22" t="str">
        <f>"FES1162772839"</f>
        <v>FES1162772839</v>
      </c>
      <c r="C3969" s="22" t="s">
        <v>2384</v>
      </c>
      <c r="D3969" s="22">
        <v>1</v>
      </c>
      <c r="E3969" s="22" t="str">
        <f>"2170757707"</f>
        <v>2170757707</v>
      </c>
      <c r="F3969" s="22" t="s">
        <v>17</v>
      </c>
      <c r="G3969" s="22" t="s">
        <v>18</v>
      </c>
      <c r="H3969" s="22" t="s">
        <v>30</v>
      </c>
      <c r="I3969" s="22" t="s">
        <v>444</v>
      </c>
      <c r="J3969" s="22" t="s">
        <v>445</v>
      </c>
      <c r="K3969" s="22" t="s">
        <v>2490</v>
      </c>
      <c r="L3969" s="22"/>
      <c r="M3969" s="22" t="s">
        <v>23</v>
      </c>
      <c r="N3969" s="22" t="s">
        <v>175</v>
      </c>
      <c r="O3969" s="22" t="s">
        <v>2222</v>
      </c>
    </row>
    <row r="3970" spans="1:15" x14ac:dyDescent="0.25">
      <c r="A3970" s="2" t="s">
        <v>15</v>
      </c>
      <c r="B3970" s="2" t="str">
        <f>"FES1162772884"</f>
        <v>FES1162772884</v>
      </c>
      <c r="C3970" s="2" t="s">
        <v>2384</v>
      </c>
      <c r="D3970" s="2">
        <v>1</v>
      </c>
      <c r="E3970" s="2" t="str">
        <f>"2170758680"</f>
        <v>2170758680</v>
      </c>
      <c r="F3970" s="2" t="s">
        <v>17</v>
      </c>
      <c r="G3970" s="2" t="s">
        <v>18</v>
      </c>
      <c r="H3970" s="2" t="s">
        <v>18</v>
      </c>
      <c r="I3970" s="2" t="s">
        <v>63</v>
      </c>
      <c r="J3970" s="2" t="s">
        <v>93</v>
      </c>
      <c r="K3970" s="2" t="s">
        <v>2490</v>
      </c>
      <c r="L3970" s="3">
        <v>0.33888888888888885</v>
      </c>
      <c r="M3970" s="2" t="s">
        <v>397</v>
      </c>
      <c r="N3970" s="2" t="s">
        <v>500</v>
      </c>
      <c r="O3970" s="2"/>
    </row>
    <row r="3971" spans="1:15" x14ac:dyDescent="0.25">
      <c r="A3971" s="2" t="s">
        <v>15</v>
      </c>
      <c r="B3971" s="2" t="str">
        <f>"FES1162772843"</f>
        <v>FES1162772843</v>
      </c>
      <c r="C3971" s="2" t="s">
        <v>2384</v>
      </c>
      <c r="D3971" s="2">
        <v>1</v>
      </c>
      <c r="E3971" s="2" t="str">
        <f>"2170757756"</f>
        <v>2170757756</v>
      </c>
      <c r="F3971" s="2" t="s">
        <v>17</v>
      </c>
      <c r="G3971" s="2" t="s">
        <v>18</v>
      </c>
      <c r="H3971" s="2" t="s">
        <v>18</v>
      </c>
      <c r="I3971" s="2" t="s">
        <v>57</v>
      </c>
      <c r="J3971" s="2" t="s">
        <v>906</v>
      </c>
      <c r="K3971" s="2" t="s">
        <v>2490</v>
      </c>
      <c r="L3971" s="3">
        <v>0.29583333333333334</v>
      </c>
      <c r="M3971" s="2" t="s">
        <v>1070</v>
      </c>
      <c r="N3971" s="2" t="s">
        <v>500</v>
      </c>
      <c r="O3971" s="2"/>
    </row>
    <row r="3972" spans="1:15" x14ac:dyDescent="0.25">
      <c r="A3972" s="2" t="s">
        <v>15</v>
      </c>
      <c r="B3972" s="2" t="str">
        <f>"FES1162772911"</f>
        <v>FES1162772911</v>
      </c>
      <c r="C3972" s="2" t="s">
        <v>2384</v>
      </c>
      <c r="D3972" s="2">
        <v>1</v>
      </c>
      <c r="E3972" s="2" t="str">
        <f>"2170759663"</f>
        <v>2170759663</v>
      </c>
      <c r="F3972" s="2" t="s">
        <v>17</v>
      </c>
      <c r="G3972" s="2" t="s">
        <v>18</v>
      </c>
      <c r="H3972" s="2" t="s">
        <v>18</v>
      </c>
      <c r="I3972" s="2" t="s">
        <v>116</v>
      </c>
      <c r="J3972" s="2" t="s">
        <v>1139</v>
      </c>
      <c r="K3972" s="2" t="s">
        <v>2490</v>
      </c>
      <c r="L3972" s="3">
        <v>0.40069444444444446</v>
      </c>
      <c r="M3972" s="2" t="s">
        <v>2521</v>
      </c>
      <c r="N3972" s="2" t="s">
        <v>500</v>
      </c>
      <c r="O3972" s="2"/>
    </row>
    <row r="3973" spans="1:15" x14ac:dyDescent="0.25">
      <c r="A3973" s="2" t="s">
        <v>15</v>
      </c>
      <c r="B3973" s="2" t="str">
        <f>"FES1162772853"</f>
        <v>FES1162772853</v>
      </c>
      <c r="C3973" s="2" t="s">
        <v>2384</v>
      </c>
      <c r="D3973" s="2">
        <v>1</v>
      </c>
      <c r="E3973" s="2" t="str">
        <f>"2170757850"</f>
        <v>2170757850</v>
      </c>
      <c r="F3973" s="2" t="s">
        <v>17</v>
      </c>
      <c r="G3973" s="2" t="s">
        <v>18</v>
      </c>
      <c r="H3973" s="2" t="s">
        <v>18</v>
      </c>
      <c r="I3973" s="2" t="s">
        <v>50</v>
      </c>
      <c r="J3973" s="2" t="s">
        <v>51</v>
      </c>
      <c r="K3973" s="2" t="s">
        <v>2490</v>
      </c>
      <c r="L3973" s="3">
        <v>0.43333333333333335</v>
      </c>
      <c r="M3973" s="2" t="s">
        <v>2325</v>
      </c>
      <c r="N3973" s="2" t="s">
        <v>500</v>
      </c>
      <c r="O3973" s="2"/>
    </row>
    <row r="3974" spans="1:15" x14ac:dyDescent="0.25">
      <c r="A3974" s="22" t="s">
        <v>15</v>
      </c>
      <c r="B3974" s="22" t="str">
        <f>"FES1162772721"</f>
        <v>FES1162772721</v>
      </c>
      <c r="C3974" s="22" t="s">
        <v>2384</v>
      </c>
      <c r="D3974" s="22">
        <v>1</v>
      </c>
      <c r="E3974" s="22" t="str">
        <f>"2170759595"</f>
        <v>2170759595</v>
      </c>
      <c r="F3974" s="22" t="s">
        <v>17</v>
      </c>
      <c r="G3974" s="22" t="s">
        <v>18</v>
      </c>
      <c r="H3974" s="22" t="s">
        <v>36</v>
      </c>
      <c r="I3974" s="22" t="s">
        <v>1129</v>
      </c>
      <c r="J3974" s="22" t="s">
        <v>1130</v>
      </c>
      <c r="K3974" s="22" t="s">
        <v>2490</v>
      </c>
      <c r="L3974" s="22"/>
      <c r="M3974" s="22" t="s">
        <v>23</v>
      </c>
      <c r="N3974" s="22" t="s">
        <v>175</v>
      </c>
      <c r="O3974" s="22" t="s">
        <v>2222</v>
      </c>
    </row>
    <row r="3975" spans="1:15" x14ac:dyDescent="0.25">
      <c r="A3975" s="2" t="s">
        <v>15</v>
      </c>
      <c r="B3975" s="2" t="str">
        <f>"FES1162772902"</f>
        <v>FES1162772902</v>
      </c>
      <c r="C3975" s="2" t="s">
        <v>2384</v>
      </c>
      <c r="D3975" s="2">
        <v>1</v>
      </c>
      <c r="E3975" s="2" t="str">
        <f>"2170759662"</f>
        <v>2170759662</v>
      </c>
      <c r="F3975" s="2" t="s">
        <v>17</v>
      </c>
      <c r="G3975" s="2" t="s">
        <v>18</v>
      </c>
      <c r="H3975" s="2" t="s">
        <v>30</v>
      </c>
      <c r="I3975" s="2" t="s">
        <v>31</v>
      </c>
      <c r="J3975" s="2" t="s">
        <v>32</v>
      </c>
      <c r="K3975" s="2" t="s">
        <v>2490</v>
      </c>
      <c r="L3975" s="3">
        <v>0.53263888888888888</v>
      </c>
      <c r="M3975" s="2" t="s">
        <v>2196</v>
      </c>
      <c r="N3975" s="2" t="s">
        <v>500</v>
      </c>
      <c r="O3975" s="2"/>
    </row>
    <row r="3976" spans="1:15" x14ac:dyDescent="0.25">
      <c r="A3976" s="2" t="s">
        <v>15</v>
      </c>
      <c r="B3976" s="2" t="str">
        <f>"FES1162772900"</f>
        <v>FES1162772900</v>
      </c>
      <c r="C3976" s="2" t="s">
        <v>2384</v>
      </c>
      <c r="D3976" s="2">
        <v>1</v>
      </c>
      <c r="E3976" s="2" t="str">
        <f>"2170759656"</f>
        <v>2170759656</v>
      </c>
      <c r="F3976" s="2" t="s">
        <v>17</v>
      </c>
      <c r="G3976" s="2" t="s">
        <v>18</v>
      </c>
      <c r="H3976" s="2" t="s">
        <v>19</v>
      </c>
      <c r="I3976" s="2" t="s">
        <v>111</v>
      </c>
      <c r="J3976" s="2" t="s">
        <v>1936</v>
      </c>
      <c r="K3976" s="2" t="s">
        <v>2490</v>
      </c>
      <c r="L3976" s="3">
        <v>0.51111111111111118</v>
      </c>
      <c r="M3976" s="2" t="s">
        <v>2522</v>
      </c>
      <c r="N3976" s="2" t="s">
        <v>500</v>
      </c>
      <c r="O3976" s="2"/>
    </row>
    <row r="3977" spans="1:15" x14ac:dyDescent="0.25">
      <c r="A3977" s="2" t="s">
        <v>15</v>
      </c>
      <c r="B3977" s="2" t="str">
        <f>"FES1162772850"</f>
        <v>FES1162772850</v>
      </c>
      <c r="C3977" s="2" t="s">
        <v>2384</v>
      </c>
      <c r="D3977" s="2">
        <v>1</v>
      </c>
      <c r="E3977" s="2" t="str">
        <f>"2170757812"</f>
        <v>2170757812</v>
      </c>
      <c r="F3977" s="2" t="s">
        <v>17</v>
      </c>
      <c r="G3977" s="2" t="s">
        <v>18</v>
      </c>
      <c r="H3977" s="2" t="s">
        <v>18</v>
      </c>
      <c r="I3977" s="2" t="s">
        <v>46</v>
      </c>
      <c r="J3977" s="2" t="s">
        <v>2364</v>
      </c>
      <c r="K3977" s="2" t="s">
        <v>2490</v>
      </c>
      <c r="L3977" s="3">
        <v>0.41666666666666669</v>
      </c>
      <c r="M3977" s="2" t="s">
        <v>2399</v>
      </c>
      <c r="N3977" s="2" t="s">
        <v>500</v>
      </c>
      <c r="O3977" s="2"/>
    </row>
    <row r="3978" spans="1:15" x14ac:dyDescent="0.25">
      <c r="A3978" s="2" t="s">
        <v>15</v>
      </c>
      <c r="B3978" s="2" t="str">
        <f>"FES1162772787"</f>
        <v>FES1162772787</v>
      </c>
      <c r="C3978" s="2" t="s">
        <v>2384</v>
      </c>
      <c r="D3978" s="2">
        <v>1</v>
      </c>
      <c r="E3978" s="2" t="str">
        <f>"2170757951"</f>
        <v>2170757951</v>
      </c>
      <c r="F3978" s="2" t="s">
        <v>17</v>
      </c>
      <c r="G3978" s="2" t="s">
        <v>18</v>
      </c>
      <c r="H3978" s="2" t="s">
        <v>18</v>
      </c>
      <c r="I3978" s="2" t="s">
        <v>46</v>
      </c>
      <c r="J3978" s="2" t="s">
        <v>139</v>
      </c>
      <c r="K3978" s="2" t="s">
        <v>2490</v>
      </c>
      <c r="L3978" s="3">
        <v>0.375</v>
      </c>
      <c r="M3978" s="2" t="s">
        <v>1731</v>
      </c>
      <c r="N3978" s="2" t="s">
        <v>500</v>
      </c>
      <c r="O3978" s="2"/>
    </row>
    <row r="3979" spans="1:15" x14ac:dyDescent="0.25">
      <c r="A3979" s="2" t="s">
        <v>15</v>
      </c>
      <c r="B3979" s="2" t="str">
        <f>"FES1162772792"</f>
        <v>FES1162772792</v>
      </c>
      <c r="C3979" s="2" t="s">
        <v>2384</v>
      </c>
      <c r="D3979" s="2">
        <v>1</v>
      </c>
      <c r="E3979" s="2" t="str">
        <f>"21700757973"</f>
        <v>21700757973</v>
      </c>
      <c r="F3979" s="2" t="s">
        <v>17</v>
      </c>
      <c r="G3979" s="2" t="s">
        <v>18</v>
      </c>
      <c r="H3979" s="2" t="s">
        <v>18</v>
      </c>
      <c r="I3979" s="2" t="s">
        <v>163</v>
      </c>
      <c r="J3979" s="2" t="s">
        <v>912</v>
      </c>
      <c r="K3979" s="2" t="s">
        <v>2490</v>
      </c>
      <c r="L3979" s="3">
        <v>0.37361111111111112</v>
      </c>
      <c r="M3979" s="2" t="s">
        <v>2523</v>
      </c>
      <c r="N3979" s="2" t="s">
        <v>500</v>
      </c>
      <c r="O3979" s="2"/>
    </row>
    <row r="3980" spans="1:15" x14ac:dyDescent="0.25">
      <c r="A3980" s="2" t="s">
        <v>15</v>
      </c>
      <c r="B3980" s="2" t="str">
        <f>"FES1162772732"</f>
        <v>FES1162772732</v>
      </c>
      <c r="C3980" s="2" t="s">
        <v>2384</v>
      </c>
      <c r="D3980" s="2">
        <v>1</v>
      </c>
      <c r="E3980" s="2" t="str">
        <f>"2170759570"</f>
        <v>2170759570</v>
      </c>
      <c r="F3980" s="2" t="s">
        <v>17</v>
      </c>
      <c r="G3980" s="2" t="s">
        <v>18</v>
      </c>
      <c r="H3980" s="2" t="s">
        <v>18</v>
      </c>
      <c r="I3980" s="2" t="s">
        <v>46</v>
      </c>
      <c r="J3980" s="2" t="s">
        <v>2495</v>
      </c>
      <c r="K3980" s="2" t="s">
        <v>2490</v>
      </c>
      <c r="L3980" s="3">
        <v>0.33402777777777781</v>
      </c>
      <c r="M3980" s="2" t="s">
        <v>354</v>
      </c>
      <c r="N3980" s="2" t="s">
        <v>500</v>
      </c>
      <c r="O3980" s="2"/>
    </row>
    <row r="3981" spans="1:15" x14ac:dyDescent="0.25">
      <c r="A3981" s="2" t="s">
        <v>15</v>
      </c>
      <c r="B3981" s="2" t="str">
        <f>"FES1162772660"</f>
        <v>FES1162772660</v>
      </c>
      <c r="C3981" s="2" t="s">
        <v>2384</v>
      </c>
      <c r="D3981" s="2">
        <v>1</v>
      </c>
      <c r="E3981" s="2" t="str">
        <f>"2170759536"</f>
        <v>2170759536</v>
      </c>
      <c r="F3981" s="2" t="s">
        <v>17</v>
      </c>
      <c r="G3981" s="2" t="s">
        <v>18</v>
      </c>
      <c r="H3981" s="2" t="s">
        <v>25</v>
      </c>
      <c r="I3981" s="2" t="s">
        <v>42</v>
      </c>
      <c r="J3981" s="2" t="s">
        <v>43</v>
      </c>
      <c r="K3981" s="2" t="s">
        <v>2490</v>
      </c>
      <c r="L3981" s="3">
        <v>0.51527777777777783</v>
      </c>
      <c r="M3981" s="2" t="s">
        <v>180</v>
      </c>
      <c r="N3981" s="2" t="s">
        <v>500</v>
      </c>
      <c r="O3981" s="2"/>
    </row>
    <row r="3982" spans="1:15" x14ac:dyDescent="0.25">
      <c r="A3982" s="2" t="s">
        <v>15</v>
      </c>
      <c r="B3982" s="2" t="str">
        <f>"FES1162772636"</f>
        <v>FES1162772636</v>
      </c>
      <c r="C3982" s="2" t="s">
        <v>2384</v>
      </c>
      <c r="D3982" s="2">
        <v>1</v>
      </c>
      <c r="E3982" s="2" t="str">
        <f>"2170757705"</f>
        <v>2170757705</v>
      </c>
      <c r="F3982" s="2" t="s">
        <v>17</v>
      </c>
      <c r="G3982" s="2" t="s">
        <v>18</v>
      </c>
      <c r="H3982" s="2" t="s">
        <v>25</v>
      </c>
      <c r="I3982" s="2" t="s">
        <v>361</v>
      </c>
      <c r="J3982" s="2" t="s">
        <v>1400</v>
      </c>
      <c r="K3982" s="2" t="s">
        <v>2490</v>
      </c>
      <c r="L3982" s="3">
        <v>0.41666666666666669</v>
      </c>
      <c r="M3982" s="2" t="s">
        <v>1849</v>
      </c>
      <c r="N3982" s="2" t="s">
        <v>500</v>
      </c>
      <c r="O3982" s="2"/>
    </row>
    <row r="3983" spans="1:15" x14ac:dyDescent="0.25">
      <c r="A3983" s="2" t="s">
        <v>15</v>
      </c>
      <c r="B3983" s="2" t="str">
        <f>"FES1162772659"</f>
        <v>FES1162772659</v>
      </c>
      <c r="C3983" s="2" t="s">
        <v>2384</v>
      </c>
      <c r="D3983" s="2">
        <v>1</v>
      </c>
      <c r="E3983" s="2" t="str">
        <f>"2170759532"</f>
        <v>2170759532</v>
      </c>
      <c r="F3983" s="2" t="s">
        <v>205</v>
      </c>
      <c r="G3983" s="2" t="s">
        <v>206</v>
      </c>
      <c r="H3983" s="2" t="s">
        <v>1116</v>
      </c>
      <c r="I3983" s="2" t="s">
        <v>109</v>
      </c>
      <c r="J3983" s="2" t="s">
        <v>1927</v>
      </c>
      <c r="K3983" s="2" t="s">
        <v>2490</v>
      </c>
      <c r="L3983" s="3">
        <v>0.3611111111111111</v>
      </c>
      <c r="M3983" s="2" t="s">
        <v>1971</v>
      </c>
      <c r="N3983" s="2" t="s">
        <v>500</v>
      </c>
      <c r="O3983" s="2"/>
    </row>
    <row r="3984" spans="1:15" x14ac:dyDescent="0.25">
      <c r="A3984" s="2" t="s">
        <v>15</v>
      </c>
      <c r="B3984" s="2" t="str">
        <f>"FES1162772670"</f>
        <v>FES1162772670</v>
      </c>
      <c r="C3984" s="2" t="s">
        <v>2384</v>
      </c>
      <c r="D3984" s="2">
        <v>1</v>
      </c>
      <c r="E3984" s="2" t="str">
        <f>"2170759550"</f>
        <v>2170759550</v>
      </c>
      <c r="F3984" s="2" t="s">
        <v>17</v>
      </c>
      <c r="G3984" s="2" t="s">
        <v>18</v>
      </c>
      <c r="H3984" s="2" t="s">
        <v>19</v>
      </c>
      <c r="I3984" s="2" t="s">
        <v>20</v>
      </c>
      <c r="J3984" s="2" t="s">
        <v>77</v>
      </c>
      <c r="K3984" s="2" t="s">
        <v>2490</v>
      </c>
      <c r="L3984" s="3">
        <v>0.39305555555555555</v>
      </c>
      <c r="M3984" s="2" t="s">
        <v>1764</v>
      </c>
      <c r="N3984" s="2" t="s">
        <v>500</v>
      </c>
      <c r="O3984" s="2"/>
    </row>
    <row r="3985" spans="1:15" x14ac:dyDescent="0.25">
      <c r="A3985" s="2" t="s">
        <v>15</v>
      </c>
      <c r="B3985" s="2" t="str">
        <f>"FES1162772669"</f>
        <v>FES1162772669</v>
      </c>
      <c r="C3985" s="2" t="s">
        <v>2384</v>
      </c>
      <c r="D3985" s="2">
        <v>1</v>
      </c>
      <c r="E3985" s="2" t="str">
        <f>"2170759548"</f>
        <v>2170759548</v>
      </c>
      <c r="F3985" s="2" t="s">
        <v>17</v>
      </c>
      <c r="G3985" s="2" t="s">
        <v>18</v>
      </c>
      <c r="H3985" s="2" t="s">
        <v>19</v>
      </c>
      <c r="I3985" s="2" t="s">
        <v>20</v>
      </c>
      <c r="J3985" s="2" t="s">
        <v>77</v>
      </c>
      <c r="K3985" s="2" t="s">
        <v>2490</v>
      </c>
      <c r="L3985" s="3">
        <v>0.3923611111111111</v>
      </c>
      <c r="M3985" s="2" t="s">
        <v>1764</v>
      </c>
      <c r="N3985" s="2" t="s">
        <v>500</v>
      </c>
      <c r="O3985" s="2"/>
    </row>
    <row r="3986" spans="1:15" x14ac:dyDescent="0.25">
      <c r="A3986" s="2" t="s">
        <v>15</v>
      </c>
      <c r="B3986" s="2" t="str">
        <f>"FES1162772644"</f>
        <v>FES1162772644</v>
      </c>
      <c r="C3986" s="2" t="s">
        <v>2384</v>
      </c>
      <c r="D3986" s="2">
        <v>1</v>
      </c>
      <c r="E3986" s="2" t="str">
        <f>"2170758089"</f>
        <v>2170758089</v>
      </c>
      <c r="F3986" s="2" t="s">
        <v>205</v>
      </c>
      <c r="G3986" s="2" t="s">
        <v>206</v>
      </c>
      <c r="H3986" s="2" t="s">
        <v>206</v>
      </c>
      <c r="I3986" s="2" t="s">
        <v>1434</v>
      </c>
      <c r="J3986" s="2" t="s">
        <v>1935</v>
      </c>
      <c r="K3986" s="2" t="s">
        <v>2490</v>
      </c>
      <c r="L3986" s="3">
        <v>0.37083333333333335</v>
      </c>
      <c r="M3986" s="2" t="s">
        <v>203</v>
      </c>
      <c r="N3986" s="2" t="s">
        <v>500</v>
      </c>
      <c r="O3986" s="2"/>
    </row>
    <row r="3987" spans="1:15" x14ac:dyDescent="0.25">
      <c r="A3987" s="2" t="s">
        <v>15</v>
      </c>
      <c r="B3987" s="2" t="str">
        <f>"FES1162772628"</f>
        <v>FES1162772628</v>
      </c>
      <c r="C3987" s="2" t="s">
        <v>2384</v>
      </c>
      <c r="D3987" s="2">
        <v>1</v>
      </c>
      <c r="E3987" s="2" t="str">
        <f>"2170755759"</f>
        <v>2170755759</v>
      </c>
      <c r="F3987" s="2" t="s">
        <v>17</v>
      </c>
      <c r="G3987" s="2" t="s">
        <v>18</v>
      </c>
      <c r="H3987" s="2" t="s">
        <v>36</v>
      </c>
      <c r="I3987" s="2" t="s">
        <v>37</v>
      </c>
      <c r="J3987" s="2" t="s">
        <v>403</v>
      </c>
      <c r="K3987" s="2" t="s">
        <v>2490</v>
      </c>
      <c r="L3987" s="3">
        <v>0.6020833333333333</v>
      </c>
      <c r="M3987" s="2" t="s">
        <v>1262</v>
      </c>
      <c r="N3987" s="2" t="s">
        <v>500</v>
      </c>
      <c r="O3987" s="2"/>
    </row>
    <row r="3988" spans="1:15" x14ac:dyDescent="0.25">
      <c r="A3988" s="2" t="s">
        <v>15</v>
      </c>
      <c r="B3988" s="2" t="str">
        <f>"FES1162772648"</f>
        <v>FES1162772648</v>
      </c>
      <c r="C3988" s="2" t="s">
        <v>2384</v>
      </c>
      <c r="D3988" s="2">
        <v>1</v>
      </c>
      <c r="E3988" s="2" t="str">
        <f>"2170758833"</f>
        <v>2170758833</v>
      </c>
      <c r="F3988" s="2" t="s">
        <v>17</v>
      </c>
      <c r="G3988" s="2" t="s">
        <v>18</v>
      </c>
      <c r="H3988" s="2" t="s">
        <v>25</v>
      </c>
      <c r="I3988" s="2" t="s">
        <v>26</v>
      </c>
      <c r="J3988" s="2" t="s">
        <v>422</v>
      </c>
      <c r="K3988" s="2" t="s">
        <v>2490</v>
      </c>
      <c r="L3988" s="3">
        <v>0.36458333333333331</v>
      </c>
      <c r="M3988" s="2" t="s">
        <v>2524</v>
      </c>
      <c r="N3988" s="2" t="s">
        <v>500</v>
      </c>
      <c r="O3988" s="2"/>
    </row>
    <row r="3989" spans="1:15" x14ac:dyDescent="0.25">
      <c r="A3989" s="2" t="s">
        <v>15</v>
      </c>
      <c r="B3989" s="2" t="str">
        <f>"FES1162772673"</f>
        <v>FES1162772673</v>
      </c>
      <c r="C3989" s="2" t="s">
        <v>2384</v>
      </c>
      <c r="D3989" s="2">
        <v>1</v>
      </c>
      <c r="E3989" s="2" t="str">
        <f>"2170759554"</f>
        <v>2170759554</v>
      </c>
      <c r="F3989" s="2" t="s">
        <v>17</v>
      </c>
      <c r="G3989" s="2" t="s">
        <v>18</v>
      </c>
      <c r="H3989" s="2" t="s">
        <v>25</v>
      </c>
      <c r="I3989" s="2" t="s">
        <v>361</v>
      </c>
      <c r="J3989" s="2" t="s">
        <v>1400</v>
      </c>
      <c r="K3989" s="2" t="s">
        <v>2490</v>
      </c>
      <c r="L3989" s="3">
        <v>0.41666666666666669</v>
      </c>
      <c r="M3989" s="2" t="s">
        <v>1849</v>
      </c>
      <c r="N3989" s="2" t="s">
        <v>500</v>
      </c>
      <c r="O3989" s="2"/>
    </row>
    <row r="3990" spans="1:15" x14ac:dyDescent="0.25">
      <c r="A3990" s="2" t="s">
        <v>15</v>
      </c>
      <c r="B3990" s="2" t="str">
        <f>"FES1162772650"</f>
        <v>FES1162772650</v>
      </c>
      <c r="C3990" s="2" t="s">
        <v>2384</v>
      </c>
      <c r="D3990" s="2">
        <v>1</v>
      </c>
      <c r="E3990" s="2" t="str">
        <f>"2170758958"</f>
        <v>2170758958</v>
      </c>
      <c r="F3990" s="2" t="s">
        <v>17</v>
      </c>
      <c r="G3990" s="2" t="s">
        <v>18</v>
      </c>
      <c r="H3990" s="2" t="s">
        <v>25</v>
      </c>
      <c r="I3990" s="2" t="s">
        <v>42</v>
      </c>
      <c r="J3990" s="2" t="s">
        <v>416</v>
      </c>
      <c r="K3990" s="2" t="s">
        <v>2490</v>
      </c>
      <c r="L3990" s="3">
        <v>0.5</v>
      </c>
      <c r="M3990" s="2" t="s">
        <v>517</v>
      </c>
      <c r="N3990" s="2" t="s">
        <v>500</v>
      </c>
      <c r="O3990" s="2"/>
    </row>
    <row r="3991" spans="1:15" x14ac:dyDescent="0.25">
      <c r="A3991" s="2" t="s">
        <v>15</v>
      </c>
      <c r="B3991" s="2" t="str">
        <f>"FES1162772634"</f>
        <v>FES1162772634</v>
      </c>
      <c r="C3991" s="2" t="s">
        <v>2384</v>
      </c>
      <c r="D3991" s="2">
        <v>1</v>
      </c>
      <c r="E3991" s="2" t="str">
        <f>"2170757434"</f>
        <v>2170757434</v>
      </c>
      <c r="F3991" s="2" t="s">
        <v>17</v>
      </c>
      <c r="G3991" s="2" t="s">
        <v>18</v>
      </c>
      <c r="H3991" s="2" t="s">
        <v>19</v>
      </c>
      <c r="I3991" s="2" t="s">
        <v>73</v>
      </c>
      <c r="J3991" s="2" t="s">
        <v>76</v>
      </c>
      <c r="K3991" s="2" t="s">
        <v>2490</v>
      </c>
      <c r="L3991" s="3">
        <v>0.45277777777777778</v>
      </c>
      <c r="M3991" s="2" t="s">
        <v>197</v>
      </c>
      <c r="N3991" s="2" t="s">
        <v>500</v>
      </c>
      <c r="O3991" s="2"/>
    </row>
    <row r="3992" spans="1:15" x14ac:dyDescent="0.25">
      <c r="A3992" s="2" t="s">
        <v>15</v>
      </c>
      <c r="B3992" s="2" t="str">
        <f>"FES1162772661"</f>
        <v>FES1162772661</v>
      </c>
      <c r="C3992" s="2" t="s">
        <v>2384</v>
      </c>
      <c r="D3992" s="2">
        <v>1</v>
      </c>
      <c r="E3992" s="2" t="str">
        <f>"2170759538"</f>
        <v>2170759538</v>
      </c>
      <c r="F3992" s="2" t="s">
        <v>17</v>
      </c>
      <c r="G3992" s="2" t="s">
        <v>18</v>
      </c>
      <c r="H3992" s="2" t="s">
        <v>25</v>
      </c>
      <c r="I3992" s="2" t="s">
        <v>345</v>
      </c>
      <c r="J3992" s="2" t="s">
        <v>1429</v>
      </c>
      <c r="K3992" s="2" t="s">
        <v>2520</v>
      </c>
      <c r="L3992" s="3">
        <v>0.30902777777777779</v>
      </c>
      <c r="M3992" s="2" t="s">
        <v>2525</v>
      </c>
      <c r="N3992" s="2" t="s">
        <v>500</v>
      </c>
      <c r="O3992" s="2"/>
    </row>
    <row r="3993" spans="1:15" x14ac:dyDescent="0.25">
      <c r="A3993" s="2" t="s">
        <v>15</v>
      </c>
      <c r="B3993" s="2" t="str">
        <f>"FES1162772640"</f>
        <v>FES1162772640</v>
      </c>
      <c r="C3993" s="2" t="s">
        <v>2384</v>
      </c>
      <c r="D3993" s="2">
        <v>1</v>
      </c>
      <c r="E3993" s="2" t="str">
        <f>"2170757835"</f>
        <v>2170757835</v>
      </c>
      <c r="F3993" s="2" t="s">
        <v>17</v>
      </c>
      <c r="G3993" s="2" t="s">
        <v>18</v>
      </c>
      <c r="H3993" s="2" t="s">
        <v>25</v>
      </c>
      <c r="I3993" s="2" t="s">
        <v>42</v>
      </c>
      <c r="J3993" s="2" t="s">
        <v>2496</v>
      </c>
      <c r="K3993" s="2" t="s">
        <v>2490</v>
      </c>
      <c r="L3993" s="3">
        <v>0.52152777777777781</v>
      </c>
      <c r="M3993" s="2" t="s">
        <v>2526</v>
      </c>
      <c r="N3993" s="2" t="s">
        <v>500</v>
      </c>
      <c r="O3993" s="2"/>
    </row>
    <row r="3994" spans="1:15" x14ac:dyDescent="0.25">
      <c r="A3994" s="2" t="s">
        <v>15</v>
      </c>
      <c r="B3994" s="2" t="str">
        <f>"FES1162772662"</f>
        <v>FES1162772662</v>
      </c>
      <c r="C3994" s="2" t="s">
        <v>2384</v>
      </c>
      <c r="D3994" s="2">
        <v>1</v>
      </c>
      <c r="E3994" s="2" t="str">
        <f>"2170759540"</f>
        <v>2170759540</v>
      </c>
      <c r="F3994" s="2" t="s">
        <v>17</v>
      </c>
      <c r="G3994" s="2" t="s">
        <v>18</v>
      </c>
      <c r="H3994" s="2" t="s">
        <v>25</v>
      </c>
      <c r="I3994" s="2" t="s">
        <v>26</v>
      </c>
      <c r="J3994" s="2" t="s">
        <v>623</v>
      </c>
      <c r="K3994" s="2" t="s">
        <v>2490</v>
      </c>
      <c r="L3994" s="3">
        <v>0.38541666666666669</v>
      </c>
      <c r="M3994" s="2" t="s">
        <v>557</v>
      </c>
      <c r="N3994" s="2" t="s">
        <v>500</v>
      </c>
      <c r="O3994" s="2"/>
    </row>
    <row r="3995" spans="1:15" x14ac:dyDescent="0.25">
      <c r="A3995" s="2" t="s">
        <v>15</v>
      </c>
      <c r="B3995" s="2" t="str">
        <f>"FES1162772649"</f>
        <v>FES1162772649</v>
      </c>
      <c r="C3995" s="2" t="s">
        <v>2384</v>
      </c>
      <c r="D3995" s="2">
        <v>1</v>
      </c>
      <c r="E3995" s="2" t="str">
        <f>"2170758882"</f>
        <v>2170758882</v>
      </c>
      <c r="F3995" s="2" t="s">
        <v>17</v>
      </c>
      <c r="G3995" s="2" t="s">
        <v>18</v>
      </c>
      <c r="H3995" s="2" t="s">
        <v>25</v>
      </c>
      <c r="I3995" s="2" t="s">
        <v>345</v>
      </c>
      <c r="J3995" s="2" t="s">
        <v>346</v>
      </c>
      <c r="K3995" s="2" t="s">
        <v>2520</v>
      </c>
      <c r="L3995" s="3">
        <v>0.31805555555555554</v>
      </c>
      <c r="M3995" s="2" t="s">
        <v>2527</v>
      </c>
      <c r="N3995" s="2" t="s">
        <v>500</v>
      </c>
      <c r="O3995" s="2"/>
    </row>
    <row r="3996" spans="1:15" x14ac:dyDescent="0.25">
      <c r="A3996" s="2" t="s">
        <v>15</v>
      </c>
      <c r="B3996" s="2" t="str">
        <f>"FES1162772638"</f>
        <v>FES1162772638</v>
      </c>
      <c r="C3996" s="2" t="s">
        <v>2384</v>
      </c>
      <c r="D3996" s="2">
        <v>1</v>
      </c>
      <c r="E3996" s="2" t="str">
        <f>"2170757707"</f>
        <v>2170757707</v>
      </c>
      <c r="F3996" s="2" t="s">
        <v>17</v>
      </c>
      <c r="G3996" s="2" t="s">
        <v>18</v>
      </c>
      <c r="H3996" s="2" t="s">
        <v>30</v>
      </c>
      <c r="I3996" s="2" t="s">
        <v>444</v>
      </c>
      <c r="J3996" s="2" t="s">
        <v>445</v>
      </c>
      <c r="K3996" s="2" t="s">
        <v>2490</v>
      </c>
      <c r="L3996" s="3">
        <v>0.5</v>
      </c>
      <c r="M3996" s="2" t="s">
        <v>1914</v>
      </c>
      <c r="N3996" s="2" t="s">
        <v>500</v>
      </c>
      <c r="O3996" s="2"/>
    </row>
    <row r="3997" spans="1:15" x14ac:dyDescent="0.25">
      <c r="A3997" s="2" t="s">
        <v>15</v>
      </c>
      <c r="B3997" s="2" t="str">
        <f>"FES1162772641"</f>
        <v>FES1162772641</v>
      </c>
      <c r="C3997" s="2" t="s">
        <v>2384</v>
      </c>
      <c r="D3997" s="2">
        <v>1</v>
      </c>
      <c r="E3997" s="2" t="str">
        <f>"2170757984"</f>
        <v>2170757984</v>
      </c>
      <c r="F3997" s="2" t="s">
        <v>17</v>
      </c>
      <c r="G3997" s="2" t="s">
        <v>18</v>
      </c>
      <c r="H3997" s="2" t="s">
        <v>33</v>
      </c>
      <c r="I3997" s="2" t="s">
        <v>34</v>
      </c>
      <c r="J3997" s="2" t="s">
        <v>626</v>
      </c>
      <c r="K3997" s="2" t="s">
        <v>2490</v>
      </c>
      <c r="L3997" s="3">
        <v>0.41805555555555557</v>
      </c>
      <c r="M3997" s="2" t="s">
        <v>2387</v>
      </c>
      <c r="N3997" s="2" t="s">
        <v>500</v>
      </c>
      <c r="O3997" s="2"/>
    </row>
    <row r="3998" spans="1:15" x14ac:dyDescent="0.25">
      <c r="A3998" s="2" t="s">
        <v>15</v>
      </c>
      <c r="B3998" s="2" t="str">
        <f>"FES1162772665"</f>
        <v>FES1162772665</v>
      </c>
      <c r="C3998" s="2" t="s">
        <v>2384</v>
      </c>
      <c r="D3998" s="2">
        <v>1</v>
      </c>
      <c r="E3998" s="2" t="str">
        <f>"2170759545"</f>
        <v>2170759545</v>
      </c>
      <c r="F3998" s="2" t="s">
        <v>17</v>
      </c>
      <c r="G3998" s="2" t="s">
        <v>18</v>
      </c>
      <c r="H3998" s="2" t="s">
        <v>33</v>
      </c>
      <c r="I3998" s="2" t="s">
        <v>34</v>
      </c>
      <c r="J3998" s="2" t="s">
        <v>152</v>
      </c>
      <c r="K3998" s="2" t="s">
        <v>2490</v>
      </c>
      <c r="L3998" s="3">
        <v>0.43333333333333335</v>
      </c>
      <c r="M3998" s="2" t="s">
        <v>2528</v>
      </c>
      <c r="N3998" s="2" t="s">
        <v>500</v>
      </c>
      <c r="O3998" s="2"/>
    </row>
    <row r="3999" spans="1:15" x14ac:dyDescent="0.25">
      <c r="A3999" s="21" t="s">
        <v>15</v>
      </c>
      <c r="B3999" s="21" t="str">
        <f>"FES1162772653"</f>
        <v>FES1162772653</v>
      </c>
      <c r="C3999" s="21" t="s">
        <v>2384</v>
      </c>
      <c r="D3999" s="21">
        <v>1</v>
      </c>
      <c r="E3999" s="21" t="str">
        <f>"2170759498"</f>
        <v>2170759498</v>
      </c>
      <c r="F3999" s="21" t="s">
        <v>17</v>
      </c>
      <c r="G3999" s="21" t="s">
        <v>18</v>
      </c>
      <c r="H3999" s="21" t="s">
        <v>18</v>
      </c>
      <c r="I3999" s="21" t="s">
        <v>50</v>
      </c>
      <c r="J3999" s="21" t="s">
        <v>665</v>
      </c>
      <c r="K3999" s="21" t="s">
        <v>2520</v>
      </c>
      <c r="L3999" s="21"/>
      <c r="M3999" s="21" t="s">
        <v>23</v>
      </c>
      <c r="N3999" s="21" t="s">
        <v>24</v>
      </c>
      <c r="O3999" s="21"/>
    </row>
    <row r="4000" spans="1:15" x14ac:dyDescent="0.25">
      <c r="A4000" s="2" t="s">
        <v>15</v>
      </c>
      <c r="B4000" s="2" t="str">
        <f>"FES1162772625"</f>
        <v>FES1162772625</v>
      </c>
      <c r="C4000" s="2" t="s">
        <v>2384</v>
      </c>
      <c r="D4000" s="2">
        <v>1</v>
      </c>
      <c r="E4000" s="2" t="str">
        <f>"2170759495"</f>
        <v>2170759495</v>
      </c>
      <c r="F4000" s="2" t="s">
        <v>17</v>
      </c>
      <c r="G4000" s="2" t="s">
        <v>18</v>
      </c>
      <c r="H4000" s="2" t="s">
        <v>18</v>
      </c>
      <c r="I4000" s="2" t="s">
        <v>57</v>
      </c>
      <c r="J4000" s="2" t="s">
        <v>2497</v>
      </c>
      <c r="K4000" s="2" t="s">
        <v>2490</v>
      </c>
      <c r="L4000" s="3">
        <v>0.27430555555555552</v>
      </c>
      <c r="M4000" s="2" t="s">
        <v>919</v>
      </c>
      <c r="N4000" s="2" t="s">
        <v>500</v>
      </c>
      <c r="O4000" s="2"/>
    </row>
    <row r="4001" spans="1:15" x14ac:dyDescent="0.25">
      <c r="A4001" s="2" t="s">
        <v>15</v>
      </c>
      <c r="B4001" s="2" t="str">
        <f>"FES1162772646"</f>
        <v>FES1162772646</v>
      </c>
      <c r="C4001" s="2" t="s">
        <v>2384</v>
      </c>
      <c r="D4001" s="2">
        <v>1</v>
      </c>
      <c r="E4001" s="2" t="str">
        <f>"2170758173"</f>
        <v>2170758173</v>
      </c>
      <c r="F4001" s="2" t="s">
        <v>17</v>
      </c>
      <c r="G4001" s="2" t="s">
        <v>18</v>
      </c>
      <c r="H4001" s="2" t="s">
        <v>36</v>
      </c>
      <c r="I4001" s="2" t="s">
        <v>37</v>
      </c>
      <c r="J4001" s="2" t="s">
        <v>102</v>
      </c>
      <c r="K4001" s="2" t="s">
        <v>2490</v>
      </c>
      <c r="L4001" s="3">
        <v>0.41736111111111113</v>
      </c>
      <c r="M4001" s="2" t="s">
        <v>1690</v>
      </c>
      <c r="N4001" s="2" t="s">
        <v>500</v>
      </c>
      <c r="O4001" s="2"/>
    </row>
    <row r="4002" spans="1:15" x14ac:dyDescent="0.25">
      <c r="A4002" s="2" t="s">
        <v>15</v>
      </c>
      <c r="B4002" s="2" t="str">
        <f>"FES1162772637"</f>
        <v>FES1162772637</v>
      </c>
      <c r="C4002" s="2" t="s">
        <v>2384</v>
      </c>
      <c r="D4002" s="2">
        <v>1</v>
      </c>
      <c r="E4002" s="2" t="str">
        <f>"2170757706"</f>
        <v>2170757706</v>
      </c>
      <c r="F4002" s="2" t="s">
        <v>17</v>
      </c>
      <c r="G4002" s="2" t="s">
        <v>18</v>
      </c>
      <c r="H4002" s="2" t="s">
        <v>33</v>
      </c>
      <c r="I4002" s="2" t="s">
        <v>34</v>
      </c>
      <c r="J4002" s="2" t="s">
        <v>400</v>
      </c>
      <c r="K4002" s="2" t="s">
        <v>2490</v>
      </c>
      <c r="L4002" s="3">
        <v>0.43055555555555558</v>
      </c>
      <c r="M4002" s="2" t="s">
        <v>2529</v>
      </c>
      <c r="N4002" s="2" t="s">
        <v>500</v>
      </c>
      <c r="O4002" s="2"/>
    </row>
    <row r="4003" spans="1:15" x14ac:dyDescent="0.25">
      <c r="A4003" s="2" t="s">
        <v>15</v>
      </c>
      <c r="B4003" s="2" t="str">
        <f>"FES1162772658"</f>
        <v>FES1162772658</v>
      </c>
      <c r="C4003" s="2" t="s">
        <v>2384</v>
      </c>
      <c r="D4003" s="2">
        <v>1</v>
      </c>
      <c r="E4003" s="2" t="str">
        <f>"2170759528"</f>
        <v>2170759528</v>
      </c>
      <c r="F4003" s="2" t="s">
        <v>17</v>
      </c>
      <c r="G4003" s="2" t="s">
        <v>18</v>
      </c>
      <c r="H4003" s="2" t="s">
        <v>36</v>
      </c>
      <c r="I4003" s="2" t="s">
        <v>37</v>
      </c>
      <c r="J4003" s="2" t="s">
        <v>104</v>
      </c>
      <c r="K4003" s="2" t="s">
        <v>2490</v>
      </c>
      <c r="L4003" s="3">
        <v>0.51388888888888895</v>
      </c>
      <c r="M4003" s="2" t="s">
        <v>221</v>
      </c>
      <c r="N4003" s="2" t="s">
        <v>500</v>
      </c>
      <c r="O4003" s="2"/>
    </row>
    <row r="4004" spans="1:15" x14ac:dyDescent="0.25">
      <c r="A4004" s="2" t="s">
        <v>15</v>
      </c>
      <c r="B4004" s="2" t="str">
        <f>"FES1162772639"</f>
        <v>FES1162772639</v>
      </c>
      <c r="C4004" s="2" t="s">
        <v>2384</v>
      </c>
      <c r="D4004" s="2">
        <v>1</v>
      </c>
      <c r="E4004" s="2" t="str">
        <f>"2170757782"</f>
        <v>2170757782</v>
      </c>
      <c r="F4004" s="2" t="s">
        <v>17</v>
      </c>
      <c r="G4004" s="2" t="s">
        <v>18</v>
      </c>
      <c r="H4004" s="2" t="s">
        <v>18</v>
      </c>
      <c r="I4004" s="2" t="s">
        <v>65</v>
      </c>
      <c r="J4004" s="2" t="s">
        <v>66</v>
      </c>
      <c r="K4004" s="2" t="s">
        <v>2490</v>
      </c>
      <c r="L4004" s="3">
        <v>0.3125</v>
      </c>
      <c r="M4004" s="2" t="s">
        <v>1186</v>
      </c>
      <c r="N4004" s="2" t="s">
        <v>500</v>
      </c>
      <c r="O4004" s="2"/>
    </row>
    <row r="4005" spans="1:15" x14ac:dyDescent="0.25">
      <c r="A4005" s="21" t="s">
        <v>15</v>
      </c>
      <c r="B4005" s="21" t="str">
        <f>"FES1162772664"</f>
        <v>FES1162772664</v>
      </c>
      <c r="C4005" s="21" t="s">
        <v>2384</v>
      </c>
      <c r="D4005" s="21">
        <v>1</v>
      </c>
      <c r="E4005" s="21" t="str">
        <f>"2170759530"</f>
        <v>2170759530</v>
      </c>
      <c r="F4005" s="21" t="s">
        <v>17</v>
      </c>
      <c r="G4005" s="21" t="s">
        <v>18</v>
      </c>
      <c r="H4005" s="21" t="s">
        <v>25</v>
      </c>
      <c r="I4005" s="21" t="s">
        <v>26</v>
      </c>
      <c r="J4005" s="21" t="s">
        <v>2498</v>
      </c>
      <c r="K4005" s="21" t="s">
        <v>2520</v>
      </c>
      <c r="L4005" s="21"/>
      <c r="M4005" s="21" t="s">
        <v>23</v>
      </c>
      <c r="N4005" s="21" t="s">
        <v>24</v>
      </c>
      <c r="O4005" s="21"/>
    </row>
    <row r="4006" spans="1:15" x14ac:dyDescent="0.25">
      <c r="A4006" s="2" t="s">
        <v>15</v>
      </c>
      <c r="B4006" s="2" t="str">
        <f>"FES1162772651"</f>
        <v>FES1162772651</v>
      </c>
      <c r="C4006" s="2" t="s">
        <v>2384</v>
      </c>
      <c r="D4006" s="2">
        <v>1</v>
      </c>
      <c r="E4006" s="2" t="str">
        <f>"2170759060"</f>
        <v>2170759060</v>
      </c>
      <c r="F4006" s="2" t="s">
        <v>17</v>
      </c>
      <c r="G4006" s="2" t="s">
        <v>18</v>
      </c>
      <c r="H4006" s="2" t="s">
        <v>18</v>
      </c>
      <c r="I4006" s="2" t="s">
        <v>46</v>
      </c>
      <c r="J4006" s="2" t="s">
        <v>1141</v>
      </c>
      <c r="K4006" s="2" t="s">
        <v>2490</v>
      </c>
      <c r="L4006" s="3">
        <v>0.34027777777777773</v>
      </c>
      <c r="M4006" s="2" t="s">
        <v>1142</v>
      </c>
      <c r="N4006" s="2" t="s">
        <v>500</v>
      </c>
      <c r="O4006" s="2"/>
    </row>
    <row r="4007" spans="1:15" x14ac:dyDescent="0.25">
      <c r="A4007" s="2" t="s">
        <v>15</v>
      </c>
      <c r="B4007" s="2" t="str">
        <f>"FES1162772693"</f>
        <v>FES1162772693</v>
      </c>
      <c r="C4007" s="2" t="s">
        <v>2384</v>
      </c>
      <c r="D4007" s="2">
        <v>1</v>
      </c>
      <c r="E4007" s="2" t="str">
        <f>"2170759524"</f>
        <v>2170759524</v>
      </c>
      <c r="F4007" s="2" t="s">
        <v>480</v>
      </c>
      <c r="G4007" s="2" t="s">
        <v>206</v>
      </c>
      <c r="H4007" s="2" t="s">
        <v>2452</v>
      </c>
      <c r="I4007" s="2" t="s">
        <v>459</v>
      </c>
      <c r="J4007" s="2" t="s">
        <v>460</v>
      </c>
      <c r="K4007" s="2" t="s">
        <v>2490</v>
      </c>
      <c r="L4007" s="3">
        <v>0.35416666666666669</v>
      </c>
      <c r="M4007" s="2" t="s">
        <v>567</v>
      </c>
      <c r="N4007" s="2" t="s">
        <v>500</v>
      </c>
      <c r="O4007" s="2"/>
    </row>
    <row r="4008" spans="1:15" x14ac:dyDescent="0.25">
      <c r="A4008" s="2" t="s">
        <v>15</v>
      </c>
      <c r="B4008" s="2" t="str">
        <f>"FES1162772668"</f>
        <v>FES1162772668</v>
      </c>
      <c r="C4008" s="2" t="s">
        <v>2384</v>
      </c>
      <c r="D4008" s="2">
        <v>1</v>
      </c>
      <c r="E4008" s="2" t="str">
        <f>"2170759547"</f>
        <v>2170759547</v>
      </c>
      <c r="F4008" s="2" t="s">
        <v>205</v>
      </c>
      <c r="G4008" s="2" t="s">
        <v>206</v>
      </c>
      <c r="H4008" s="2" t="s">
        <v>1303</v>
      </c>
      <c r="I4008" s="2" t="s">
        <v>82</v>
      </c>
      <c r="J4008" s="2" t="s">
        <v>83</v>
      </c>
      <c r="K4008" s="2" t="s">
        <v>2490</v>
      </c>
      <c r="L4008" s="3">
        <v>0.41666666666666669</v>
      </c>
      <c r="M4008" s="2" t="s">
        <v>1214</v>
      </c>
      <c r="N4008" s="2" t="s">
        <v>500</v>
      </c>
      <c r="O4008" s="2"/>
    </row>
    <row r="4009" spans="1:15" x14ac:dyDescent="0.25">
      <c r="A4009" s="2" t="s">
        <v>15</v>
      </c>
      <c r="B4009" s="2" t="str">
        <f>"FES1162771375"</f>
        <v>FES1162771375</v>
      </c>
      <c r="C4009" s="2" t="s">
        <v>2384</v>
      </c>
      <c r="D4009" s="2">
        <v>2</v>
      </c>
      <c r="E4009" s="2" t="str">
        <f>"2170756829"</f>
        <v>2170756829</v>
      </c>
      <c r="F4009" s="2" t="s">
        <v>480</v>
      </c>
      <c r="G4009" s="2" t="s">
        <v>206</v>
      </c>
      <c r="H4009" s="2" t="s">
        <v>206</v>
      </c>
      <c r="I4009" s="2" t="s">
        <v>63</v>
      </c>
      <c r="J4009" s="2" t="s">
        <v>93</v>
      </c>
      <c r="K4009" s="2" t="s">
        <v>2490</v>
      </c>
      <c r="L4009" s="3">
        <v>0.33958333333333335</v>
      </c>
      <c r="M4009" s="2" t="s">
        <v>397</v>
      </c>
      <c r="N4009" s="2" t="s">
        <v>500</v>
      </c>
      <c r="O4009" s="2"/>
    </row>
    <row r="4010" spans="1:15" x14ac:dyDescent="0.25">
      <c r="A4010" s="2" t="s">
        <v>15</v>
      </c>
      <c r="B4010" s="2" t="str">
        <f>"FES1162772626"</f>
        <v>FES1162772626</v>
      </c>
      <c r="C4010" s="2" t="s">
        <v>2384</v>
      </c>
      <c r="D4010" s="2">
        <v>1</v>
      </c>
      <c r="E4010" s="2" t="str">
        <f>"21707759496"</f>
        <v>21707759496</v>
      </c>
      <c r="F4010" s="2" t="s">
        <v>17</v>
      </c>
      <c r="G4010" s="2" t="s">
        <v>18</v>
      </c>
      <c r="H4010" s="2" t="s">
        <v>18</v>
      </c>
      <c r="I4010" s="2" t="s">
        <v>46</v>
      </c>
      <c r="J4010" s="2" t="s">
        <v>2499</v>
      </c>
      <c r="K4010" s="2" t="s">
        <v>2490</v>
      </c>
      <c r="L4010" s="3">
        <v>0.43055555555555558</v>
      </c>
      <c r="M4010" s="2" t="s">
        <v>2413</v>
      </c>
      <c r="N4010" s="2" t="s">
        <v>500</v>
      </c>
      <c r="O4010" s="2"/>
    </row>
    <row r="4011" spans="1:15" x14ac:dyDescent="0.25">
      <c r="A4011" s="2" t="s">
        <v>15</v>
      </c>
      <c r="B4011" s="2" t="str">
        <f>"FES1162772691"</f>
        <v>FES1162772691</v>
      </c>
      <c r="C4011" s="2" t="s">
        <v>2384</v>
      </c>
      <c r="D4011" s="2">
        <v>1</v>
      </c>
      <c r="E4011" s="2" t="str">
        <f>"2170759582"</f>
        <v>2170759582</v>
      </c>
      <c r="F4011" s="2" t="s">
        <v>17</v>
      </c>
      <c r="G4011" s="2" t="s">
        <v>18</v>
      </c>
      <c r="H4011" s="2" t="s">
        <v>25</v>
      </c>
      <c r="I4011" s="2" t="s">
        <v>26</v>
      </c>
      <c r="J4011" s="2" t="s">
        <v>75</v>
      </c>
      <c r="K4011" s="2" t="s">
        <v>2490</v>
      </c>
      <c r="L4011" s="3">
        <v>0.33194444444444443</v>
      </c>
      <c r="M4011" s="2" t="s">
        <v>1329</v>
      </c>
      <c r="N4011" s="2" t="s">
        <v>500</v>
      </c>
      <c r="O4011" s="2"/>
    </row>
    <row r="4012" spans="1:15" x14ac:dyDescent="0.25">
      <c r="A4012" s="2" t="s">
        <v>15</v>
      </c>
      <c r="B4012" s="2" t="str">
        <f>"009940283628"</f>
        <v>009940283628</v>
      </c>
      <c r="C4012" s="2" t="s">
        <v>2384</v>
      </c>
      <c r="D4012" s="2">
        <v>1</v>
      </c>
      <c r="E4012" s="2" t="str">
        <f>"1162770223"</f>
        <v>1162770223</v>
      </c>
      <c r="F4012" s="2" t="s">
        <v>17</v>
      </c>
      <c r="G4012" s="2" t="s">
        <v>18</v>
      </c>
      <c r="H4012" s="2" t="s">
        <v>18</v>
      </c>
      <c r="I4012" s="2" t="s">
        <v>52</v>
      </c>
      <c r="J4012" s="2" t="s">
        <v>53</v>
      </c>
      <c r="K4012" s="2" t="s">
        <v>2490</v>
      </c>
      <c r="L4012" s="3">
        <v>0.4375</v>
      </c>
      <c r="M4012" s="2" t="s">
        <v>1158</v>
      </c>
      <c r="N4012" s="2" t="s">
        <v>500</v>
      </c>
      <c r="O4012" s="2"/>
    </row>
    <row r="4013" spans="1:15" x14ac:dyDescent="0.25">
      <c r="A4013" s="2" t="s">
        <v>15</v>
      </c>
      <c r="B4013" s="2" t="str">
        <f>"FES1162771286"</f>
        <v>FES1162771286</v>
      </c>
      <c r="C4013" s="2" t="s">
        <v>2384</v>
      </c>
      <c r="D4013" s="2">
        <v>1</v>
      </c>
      <c r="E4013" s="2" t="str">
        <f>"2170756829"</f>
        <v>2170756829</v>
      </c>
      <c r="F4013" s="2" t="s">
        <v>17</v>
      </c>
      <c r="G4013" s="2" t="s">
        <v>18</v>
      </c>
      <c r="H4013" s="2" t="s">
        <v>18</v>
      </c>
      <c r="I4013" s="2" t="s">
        <v>63</v>
      </c>
      <c r="J4013" s="2" t="s">
        <v>93</v>
      </c>
      <c r="K4013" s="2" t="s">
        <v>2490</v>
      </c>
      <c r="L4013" s="3">
        <v>0.33958333333333335</v>
      </c>
      <c r="M4013" s="2" t="s">
        <v>397</v>
      </c>
      <c r="N4013" s="2" t="s">
        <v>500</v>
      </c>
      <c r="O4013" s="2"/>
    </row>
    <row r="4014" spans="1:15" x14ac:dyDescent="0.25">
      <c r="A4014" s="2" t="s">
        <v>15</v>
      </c>
      <c r="B4014" s="2" t="str">
        <f>"FES1162772652"</f>
        <v>FES1162772652</v>
      </c>
      <c r="C4014" s="2" t="s">
        <v>2384</v>
      </c>
      <c r="D4014" s="2">
        <v>1</v>
      </c>
      <c r="E4014" s="2" t="str">
        <f>"2170759202"</f>
        <v>2170759202</v>
      </c>
      <c r="F4014" s="2" t="s">
        <v>17</v>
      </c>
      <c r="G4014" s="2" t="s">
        <v>18</v>
      </c>
      <c r="H4014" s="2" t="s">
        <v>19</v>
      </c>
      <c r="I4014" s="2" t="s">
        <v>20</v>
      </c>
      <c r="J4014" s="2" t="s">
        <v>77</v>
      </c>
      <c r="K4014" s="2" t="s">
        <v>2490</v>
      </c>
      <c r="L4014" s="3">
        <v>0.39305555555555555</v>
      </c>
      <c r="M4014" s="2" t="s">
        <v>1764</v>
      </c>
      <c r="N4014" s="2" t="s">
        <v>500</v>
      </c>
      <c r="O4014" s="2"/>
    </row>
    <row r="4015" spans="1:15" x14ac:dyDescent="0.25">
      <c r="A4015" s="2" t="s">
        <v>15</v>
      </c>
      <c r="B4015" s="2" t="str">
        <f>"FES1162772692"</f>
        <v>FES1162772692</v>
      </c>
      <c r="C4015" s="2" t="s">
        <v>2384</v>
      </c>
      <c r="D4015" s="2">
        <v>1</v>
      </c>
      <c r="E4015" s="2" t="str">
        <f>"2170759583"</f>
        <v>2170759583</v>
      </c>
      <c r="F4015" s="2" t="s">
        <v>17</v>
      </c>
      <c r="G4015" s="2" t="s">
        <v>18</v>
      </c>
      <c r="H4015" s="2" t="s">
        <v>36</v>
      </c>
      <c r="I4015" s="2" t="s">
        <v>37</v>
      </c>
      <c r="J4015" s="2" t="s">
        <v>376</v>
      </c>
      <c r="K4015" s="2" t="s">
        <v>2490</v>
      </c>
      <c r="L4015" s="3">
        <v>0.41875000000000001</v>
      </c>
      <c r="M4015" s="2" t="s">
        <v>2530</v>
      </c>
      <c r="N4015" s="2" t="s">
        <v>500</v>
      </c>
      <c r="O4015" s="2"/>
    </row>
    <row r="4016" spans="1:15" x14ac:dyDescent="0.25">
      <c r="A4016" s="2" t="s">
        <v>15</v>
      </c>
      <c r="B4016" s="2" t="str">
        <f>"FES1162772689"</f>
        <v>FES1162772689</v>
      </c>
      <c r="C4016" s="2" t="s">
        <v>2384</v>
      </c>
      <c r="D4016" s="2">
        <v>1</v>
      </c>
      <c r="E4016" s="2" t="str">
        <f>"2170759579"</f>
        <v>2170759579</v>
      </c>
      <c r="F4016" s="2" t="s">
        <v>17</v>
      </c>
      <c r="G4016" s="2" t="s">
        <v>18</v>
      </c>
      <c r="H4016" s="2" t="s">
        <v>36</v>
      </c>
      <c r="I4016" s="2" t="s">
        <v>37</v>
      </c>
      <c r="J4016" s="2" t="s">
        <v>378</v>
      </c>
      <c r="K4016" s="2" t="s">
        <v>2490</v>
      </c>
      <c r="L4016" s="3">
        <v>0.4152777777777778</v>
      </c>
      <c r="M4016" s="2" t="s">
        <v>2345</v>
      </c>
      <c r="N4016" s="2" t="s">
        <v>500</v>
      </c>
      <c r="O4016" s="2"/>
    </row>
    <row r="4017" spans="1:15" x14ac:dyDescent="0.25">
      <c r="A4017" s="2" t="s">
        <v>15</v>
      </c>
      <c r="B4017" s="2" t="str">
        <f>"FES1162772688"</f>
        <v>FES1162772688</v>
      </c>
      <c r="C4017" s="2" t="s">
        <v>2384</v>
      </c>
      <c r="D4017" s="2">
        <v>1</v>
      </c>
      <c r="E4017" s="2" t="str">
        <f>"2170759578"</f>
        <v>2170759578</v>
      </c>
      <c r="F4017" s="2" t="s">
        <v>17</v>
      </c>
      <c r="G4017" s="2" t="s">
        <v>18</v>
      </c>
      <c r="H4017" s="2" t="s">
        <v>36</v>
      </c>
      <c r="I4017" s="2" t="s">
        <v>37</v>
      </c>
      <c r="J4017" s="2" t="s">
        <v>476</v>
      </c>
      <c r="K4017" s="2" t="s">
        <v>2490</v>
      </c>
      <c r="L4017" s="3">
        <v>0.40763888888888888</v>
      </c>
      <c r="M4017" s="2" t="s">
        <v>2531</v>
      </c>
      <c r="N4017" s="2" t="s">
        <v>500</v>
      </c>
      <c r="O4017" s="2"/>
    </row>
    <row r="4018" spans="1:15" x14ac:dyDescent="0.25">
      <c r="A4018" s="2" t="s">
        <v>15</v>
      </c>
      <c r="B4018" s="2" t="str">
        <f>"FES1162772643"</f>
        <v>FES1162772643</v>
      </c>
      <c r="C4018" s="2" t="s">
        <v>2384</v>
      </c>
      <c r="D4018" s="2">
        <v>1</v>
      </c>
      <c r="E4018" s="2" t="str">
        <f>"2170758044"</f>
        <v>2170758044</v>
      </c>
      <c r="F4018" s="2" t="s">
        <v>17</v>
      </c>
      <c r="G4018" s="2" t="s">
        <v>18</v>
      </c>
      <c r="H4018" s="2" t="s">
        <v>19</v>
      </c>
      <c r="I4018" s="2" t="s">
        <v>20</v>
      </c>
      <c r="J4018" s="2" t="s">
        <v>21</v>
      </c>
      <c r="K4018" s="2" t="s">
        <v>2490</v>
      </c>
      <c r="L4018" s="3">
        <v>0.40138888888888885</v>
      </c>
      <c r="M4018" s="2" t="s">
        <v>682</v>
      </c>
      <c r="N4018" s="2" t="s">
        <v>500</v>
      </c>
      <c r="O4018" s="2"/>
    </row>
    <row r="4019" spans="1:15" x14ac:dyDescent="0.25">
      <c r="A4019" s="2" t="s">
        <v>15</v>
      </c>
      <c r="B4019" s="2" t="str">
        <f>"FES1162772629"</f>
        <v>FES1162772629</v>
      </c>
      <c r="C4019" s="2" t="s">
        <v>2384</v>
      </c>
      <c r="D4019" s="2">
        <v>1</v>
      </c>
      <c r="E4019" s="2" t="str">
        <f>"2170759513"</f>
        <v>2170759513</v>
      </c>
      <c r="F4019" s="2" t="s">
        <v>17</v>
      </c>
      <c r="G4019" s="2" t="s">
        <v>18</v>
      </c>
      <c r="H4019" s="2" t="s">
        <v>19</v>
      </c>
      <c r="I4019" s="2" t="s">
        <v>269</v>
      </c>
      <c r="J4019" s="2" t="s">
        <v>270</v>
      </c>
      <c r="K4019" s="2" t="s">
        <v>2490</v>
      </c>
      <c r="L4019" s="3">
        <v>0.3923611111111111</v>
      </c>
      <c r="M4019" s="2" t="s">
        <v>271</v>
      </c>
      <c r="N4019" s="2" t="s">
        <v>500</v>
      </c>
      <c r="O4019" s="2"/>
    </row>
    <row r="4020" spans="1:15" x14ac:dyDescent="0.25">
      <c r="A4020" s="2" t="s">
        <v>15</v>
      </c>
      <c r="B4020" s="2" t="str">
        <f>"FES1162772746"</f>
        <v>FES1162772746</v>
      </c>
      <c r="C4020" s="2" t="s">
        <v>2384</v>
      </c>
      <c r="D4020" s="2">
        <v>1</v>
      </c>
      <c r="E4020" s="2" t="str">
        <f>"2170756611"</f>
        <v>2170756611</v>
      </c>
      <c r="F4020" s="2" t="s">
        <v>17</v>
      </c>
      <c r="G4020" s="2" t="s">
        <v>18</v>
      </c>
      <c r="H4020" s="2" t="s">
        <v>88</v>
      </c>
      <c r="I4020" s="2" t="s">
        <v>109</v>
      </c>
      <c r="J4020" s="2" t="s">
        <v>1684</v>
      </c>
      <c r="K4020" s="2" t="s">
        <v>2490</v>
      </c>
      <c r="L4020" s="3">
        <v>0.43402777777777773</v>
      </c>
      <c r="M4020" s="2" t="s">
        <v>1976</v>
      </c>
      <c r="N4020" s="2" t="s">
        <v>500</v>
      </c>
      <c r="O4020" s="2"/>
    </row>
    <row r="4021" spans="1:15" x14ac:dyDescent="0.25">
      <c r="A4021" s="2" t="s">
        <v>15</v>
      </c>
      <c r="B4021" s="2" t="str">
        <f>"FES1162772722"</f>
        <v>FES1162772722</v>
      </c>
      <c r="C4021" s="2" t="s">
        <v>2384</v>
      </c>
      <c r="D4021" s="2">
        <v>1</v>
      </c>
      <c r="E4021" s="2" t="str">
        <f>"2170759596"</f>
        <v>2170759596</v>
      </c>
      <c r="F4021" s="2" t="s">
        <v>1022</v>
      </c>
      <c r="G4021" s="2" t="s">
        <v>18</v>
      </c>
      <c r="H4021" s="2" t="s">
        <v>19</v>
      </c>
      <c r="I4021" s="2" t="s">
        <v>20</v>
      </c>
      <c r="J4021" s="2" t="s">
        <v>1595</v>
      </c>
      <c r="K4021" s="2" t="s">
        <v>2384</v>
      </c>
      <c r="L4021" s="3">
        <v>0.79861111111111116</v>
      </c>
      <c r="M4021" s="2" t="s">
        <v>2532</v>
      </c>
      <c r="N4021" s="2" t="s">
        <v>500</v>
      </c>
      <c r="O4021" s="2"/>
    </row>
    <row r="4022" spans="1:15" x14ac:dyDescent="0.25">
      <c r="A4022" s="2" t="s">
        <v>15</v>
      </c>
      <c r="B4022" s="2" t="str">
        <f>"FES1162772632"</f>
        <v>FES1162772632</v>
      </c>
      <c r="C4022" s="2" t="s">
        <v>2384</v>
      </c>
      <c r="D4022" s="2">
        <v>2</v>
      </c>
      <c r="E4022" s="2" t="str">
        <f>"2170755860"</f>
        <v>2170755860</v>
      </c>
      <c r="F4022" s="2" t="s">
        <v>205</v>
      </c>
      <c r="G4022" s="2" t="s">
        <v>206</v>
      </c>
      <c r="H4022" s="2" t="s">
        <v>1303</v>
      </c>
      <c r="I4022" s="2" t="s">
        <v>82</v>
      </c>
      <c r="J4022" s="2" t="s">
        <v>1707</v>
      </c>
      <c r="K4022" s="2" t="s">
        <v>2490</v>
      </c>
      <c r="L4022" s="3">
        <v>0.41666666666666669</v>
      </c>
      <c r="M4022" s="2" t="s">
        <v>1214</v>
      </c>
      <c r="N4022" s="2" t="s">
        <v>500</v>
      </c>
      <c r="O4022" s="2"/>
    </row>
    <row r="4023" spans="1:15" x14ac:dyDescent="0.25">
      <c r="A4023" s="2" t="s">
        <v>15</v>
      </c>
      <c r="B4023" s="2" t="str">
        <f>"FES1162772630"</f>
        <v>FES1162772630</v>
      </c>
      <c r="C4023" s="2" t="s">
        <v>2384</v>
      </c>
      <c r="D4023" s="2">
        <v>1</v>
      </c>
      <c r="E4023" s="2" t="str">
        <f>"2170754445"</f>
        <v>2170754445</v>
      </c>
      <c r="F4023" s="2" t="s">
        <v>205</v>
      </c>
      <c r="G4023" s="2" t="s">
        <v>206</v>
      </c>
      <c r="H4023" s="2" t="s">
        <v>1303</v>
      </c>
      <c r="I4023" s="2" t="s">
        <v>82</v>
      </c>
      <c r="J4023" s="2" t="s">
        <v>1707</v>
      </c>
      <c r="K4023" s="2" t="s">
        <v>2490</v>
      </c>
      <c r="L4023" s="3">
        <v>0.41666666666666669</v>
      </c>
      <c r="M4023" s="2" t="s">
        <v>1214</v>
      </c>
      <c r="N4023" s="2" t="s">
        <v>500</v>
      </c>
      <c r="O4023" s="2"/>
    </row>
    <row r="4024" spans="1:15" x14ac:dyDescent="0.25">
      <c r="A4024" s="2" t="s">
        <v>15</v>
      </c>
      <c r="B4024" s="2" t="str">
        <f>"FES1162772657"</f>
        <v>FES1162772657</v>
      </c>
      <c r="C4024" s="2" t="s">
        <v>2384</v>
      </c>
      <c r="D4024" s="2">
        <v>1</v>
      </c>
      <c r="E4024" s="2" t="str">
        <f>"2170759526"</f>
        <v>2170759526</v>
      </c>
      <c r="F4024" s="2" t="s">
        <v>17</v>
      </c>
      <c r="G4024" s="2" t="s">
        <v>18</v>
      </c>
      <c r="H4024" s="2" t="s">
        <v>657</v>
      </c>
      <c r="I4024" s="2" t="s">
        <v>658</v>
      </c>
      <c r="J4024" s="2" t="s">
        <v>659</v>
      </c>
      <c r="K4024" s="2" t="s">
        <v>2490</v>
      </c>
      <c r="L4024" s="3">
        <v>0.43611111111111112</v>
      </c>
      <c r="M4024" s="2" t="s">
        <v>2481</v>
      </c>
      <c r="N4024" s="2" t="s">
        <v>500</v>
      </c>
      <c r="O4024" s="2"/>
    </row>
    <row r="4025" spans="1:15" x14ac:dyDescent="0.25">
      <c r="A4025" s="2" t="s">
        <v>15</v>
      </c>
      <c r="B4025" s="2" t="str">
        <f>"FES1162772656"</f>
        <v>FES1162772656</v>
      </c>
      <c r="C4025" s="2" t="s">
        <v>2384</v>
      </c>
      <c r="D4025" s="2">
        <v>1</v>
      </c>
      <c r="E4025" s="2" t="str">
        <f>"2170759525"</f>
        <v>2170759525</v>
      </c>
      <c r="F4025" s="2" t="s">
        <v>17</v>
      </c>
      <c r="G4025" s="2" t="s">
        <v>18</v>
      </c>
      <c r="H4025" s="2" t="s">
        <v>18</v>
      </c>
      <c r="I4025" s="2" t="s">
        <v>57</v>
      </c>
      <c r="J4025" s="2" t="s">
        <v>119</v>
      </c>
      <c r="K4025" s="2" t="s">
        <v>2490</v>
      </c>
      <c r="L4025" s="3">
        <v>0.375</v>
      </c>
      <c r="M4025" s="2" t="s">
        <v>948</v>
      </c>
      <c r="N4025" s="2" t="s">
        <v>500</v>
      </c>
      <c r="O4025" s="2"/>
    </row>
    <row r="4026" spans="1:15" x14ac:dyDescent="0.25">
      <c r="A4026" s="2" t="s">
        <v>15</v>
      </c>
      <c r="B4026" s="2" t="str">
        <f>"FES1162772655"</f>
        <v>FES1162772655</v>
      </c>
      <c r="C4026" s="2" t="s">
        <v>2384</v>
      </c>
      <c r="D4026" s="2">
        <v>1</v>
      </c>
      <c r="E4026" s="2" t="str">
        <f>"2170759522"</f>
        <v>2170759522</v>
      </c>
      <c r="F4026" s="2" t="s">
        <v>205</v>
      </c>
      <c r="G4026" s="2" t="s">
        <v>206</v>
      </c>
      <c r="H4026" s="2" t="s">
        <v>1116</v>
      </c>
      <c r="I4026" s="2" t="s">
        <v>109</v>
      </c>
      <c r="J4026" s="2" t="s">
        <v>452</v>
      </c>
      <c r="K4026" s="2" t="s">
        <v>2490</v>
      </c>
      <c r="L4026" s="3">
        <v>0.41805555555555557</v>
      </c>
      <c r="M4026" s="2" t="s">
        <v>1209</v>
      </c>
      <c r="N4026" s="2" t="s">
        <v>500</v>
      </c>
      <c r="O4026" s="2"/>
    </row>
    <row r="4027" spans="1:15" x14ac:dyDescent="0.25">
      <c r="A4027" s="2" t="s">
        <v>15</v>
      </c>
      <c r="B4027" s="2" t="str">
        <f>"FES1162772738"</f>
        <v>FES1162772738</v>
      </c>
      <c r="C4027" s="2" t="s">
        <v>2384</v>
      </c>
      <c r="D4027" s="2">
        <v>1</v>
      </c>
      <c r="E4027" s="2" t="str">
        <f>"2170756438"</f>
        <v>2170756438</v>
      </c>
      <c r="F4027" s="2" t="s">
        <v>17</v>
      </c>
      <c r="G4027" s="2" t="s">
        <v>18</v>
      </c>
      <c r="H4027" s="2" t="s">
        <v>25</v>
      </c>
      <c r="I4027" s="2" t="s">
        <v>39</v>
      </c>
      <c r="J4027" s="2" t="s">
        <v>40</v>
      </c>
      <c r="K4027" s="2" t="s">
        <v>2490</v>
      </c>
      <c r="L4027" s="3">
        <v>0.41666666666666669</v>
      </c>
      <c r="M4027" s="2" t="s">
        <v>991</v>
      </c>
      <c r="N4027" s="2" t="s">
        <v>500</v>
      </c>
      <c r="O4027" s="2"/>
    </row>
    <row r="4028" spans="1:15" x14ac:dyDescent="0.25">
      <c r="A4028" s="2" t="s">
        <v>15</v>
      </c>
      <c r="B4028" s="2" t="str">
        <f>"FES1162772737"</f>
        <v>FES1162772737</v>
      </c>
      <c r="C4028" s="2" t="s">
        <v>2384</v>
      </c>
      <c r="D4028" s="2">
        <v>2</v>
      </c>
      <c r="E4028" s="2" t="str">
        <f>"2170754639"</f>
        <v>2170754639</v>
      </c>
      <c r="F4028" s="2" t="s">
        <v>17</v>
      </c>
      <c r="G4028" s="2" t="s">
        <v>18</v>
      </c>
      <c r="H4028" s="2" t="s">
        <v>25</v>
      </c>
      <c r="I4028" s="2" t="s">
        <v>39</v>
      </c>
      <c r="J4028" s="2" t="s">
        <v>40</v>
      </c>
      <c r="K4028" s="2" t="s">
        <v>2490</v>
      </c>
      <c r="L4028" s="3">
        <v>0.41666666666666669</v>
      </c>
      <c r="M4028" s="2" t="s">
        <v>991</v>
      </c>
      <c r="N4028" s="2" t="s">
        <v>500</v>
      </c>
      <c r="O4028" s="2"/>
    </row>
    <row r="4029" spans="1:15" x14ac:dyDescent="0.25">
      <c r="A4029" s="2" t="s">
        <v>15</v>
      </c>
      <c r="B4029" s="2" t="str">
        <f>"FES1162772674"</f>
        <v>FES1162772674</v>
      </c>
      <c r="C4029" s="2" t="s">
        <v>2384</v>
      </c>
      <c r="D4029" s="2">
        <v>1</v>
      </c>
      <c r="E4029" s="2" t="str">
        <f>"2170752657"</f>
        <v>2170752657</v>
      </c>
      <c r="F4029" s="2" t="s">
        <v>17</v>
      </c>
      <c r="G4029" s="2" t="s">
        <v>18</v>
      </c>
      <c r="H4029" s="2" t="s">
        <v>36</v>
      </c>
      <c r="I4029" s="2" t="s">
        <v>37</v>
      </c>
      <c r="J4029" s="2" t="s">
        <v>162</v>
      </c>
      <c r="K4029" s="2" t="s">
        <v>2490</v>
      </c>
      <c r="L4029" s="3">
        <v>0.36527777777777781</v>
      </c>
      <c r="M4029" s="2" t="s">
        <v>268</v>
      </c>
      <c r="N4029" s="2" t="s">
        <v>500</v>
      </c>
      <c r="O4029" s="2"/>
    </row>
    <row r="4030" spans="1:15" x14ac:dyDescent="0.25">
      <c r="A4030" s="2" t="s">
        <v>15</v>
      </c>
      <c r="B4030" s="2" t="str">
        <f>"FES1162772788"</f>
        <v>FES1162772788</v>
      </c>
      <c r="C4030" s="2" t="s">
        <v>2384</v>
      </c>
      <c r="D4030" s="2">
        <v>1</v>
      </c>
      <c r="E4030" s="2" t="str">
        <f>"2170757952"</f>
        <v>2170757952</v>
      </c>
      <c r="F4030" s="2" t="s">
        <v>17</v>
      </c>
      <c r="G4030" s="2" t="s">
        <v>18</v>
      </c>
      <c r="H4030" s="2" t="s">
        <v>18</v>
      </c>
      <c r="I4030" s="2" t="s">
        <v>459</v>
      </c>
      <c r="J4030" s="2" t="s">
        <v>460</v>
      </c>
      <c r="K4030" s="2" t="s">
        <v>2490</v>
      </c>
      <c r="L4030" s="3">
        <v>0.35416666666666669</v>
      </c>
      <c r="M4030" s="2" t="s">
        <v>567</v>
      </c>
      <c r="N4030" s="2" t="s">
        <v>500</v>
      </c>
      <c r="O4030" s="2"/>
    </row>
    <row r="4031" spans="1:15" x14ac:dyDescent="0.25">
      <c r="A4031" s="2" t="s">
        <v>15</v>
      </c>
      <c r="B4031" s="2" t="str">
        <f>"FES1162772824"</f>
        <v>FES1162772824</v>
      </c>
      <c r="C4031" s="2" t="s">
        <v>2384</v>
      </c>
      <c r="D4031" s="2">
        <v>1</v>
      </c>
      <c r="E4031" s="2" t="str">
        <f>"2170757585"</f>
        <v>2170757585</v>
      </c>
      <c r="F4031" s="2" t="s">
        <v>17</v>
      </c>
      <c r="G4031" s="2" t="s">
        <v>18</v>
      </c>
      <c r="H4031" s="2" t="s">
        <v>484</v>
      </c>
      <c r="I4031" s="2" t="s">
        <v>485</v>
      </c>
      <c r="J4031" s="2" t="s">
        <v>2500</v>
      </c>
      <c r="K4031" s="2" t="s">
        <v>2490</v>
      </c>
      <c r="L4031" s="3">
        <v>0.3833333333333333</v>
      </c>
      <c r="M4031" s="2" t="s">
        <v>2533</v>
      </c>
      <c r="N4031" s="2" t="s">
        <v>500</v>
      </c>
      <c r="O4031" s="2"/>
    </row>
    <row r="4032" spans="1:15" x14ac:dyDescent="0.25">
      <c r="A4032" s="2" t="s">
        <v>15</v>
      </c>
      <c r="B4032" s="2" t="str">
        <f>"FES1162772799"</f>
        <v>FES1162772799</v>
      </c>
      <c r="C4032" s="2" t="s">
        <v>2384</v>
      </c>
      <c r="D4032" s="2">
        <v>1</v>
      </c>
      <c r="E4032" s="2" t="str">
        <f>"2170758089"</f>
        <v>2170758089</v>
      </c>
      <c r="F4032" s="2" t="s">
        <v>480</v>
      </c>
      <c r="G4032" s="2" t="s">
        <v>206</v>
      </c>
      <c r="H4032" s="2" t="s">
        <v>206</v>
      </c>
      <c r="I4032" s="2" t="s">
        <v>1434</v>
      </c>
      <c r="J4032" s="2" t="s">
        <v>1935</v>
      </c>
      <c r="K4032" s="2" t="s">
        <v>2490</v>
      </c>
      <c r="L4032" s="3">
        <v>0.37083333333333335</v>
      </c>
      <c r="M4032" s="2" t="s">
        <v>203</v>
      </c>
      <c r="N4032" s="2" t="s">
        <v>500</v>
      </c>
      <c r="O4032" s="2"/>
    </row>
    <row r="4033" spans="1:15" x14ac:dyDescent="0.25">
      <c r="A4033" s="2" t="s">
        <v>15</v>
      </c>
      <c r="B4033" s="2" t="str">
        <f>"FES1162772703"</f>
        <v>FES1162772703</v>
      </c>
      <c r="C4033" s="2" t="s">
        <v>2384</v>
      </c>
      <c r="D4033" s="2">
        <v>1</v>
      </c>
      <c r="E4033" s="2" t="str">
        <f>"2170750934"</f>
        <v>2170750934</v>
      </c>
      <c r="F4033" s="2" t="s">
        <v>480</v>
      </c>
      <c r="G4033" s="2" t="s">
        <v>206</v>
      </c>
      <c r="H4033" s="2" t="s">
        <v>206</v>
      </c>
      <c r="I4033" s="2" t="s">
        <v>63</v>
      </c>
      <c r="J4033" s="2" t="s">
        <v>1635</v>
      </c>
      <c r="K4033" s="2" t="s">
        <v>2490</v>
      </c>
      <c r="L4033" s="3">
        <v>0.4375</v>
      </c>
      <c r="M4033" s="2" t="s">
        <v>683</v>
      </c>
      <c r="N4033" s="2" t="s">
        <v>500</v>
      </c>
      <c r="O4033" s="2"/>
    </row>
    <row r="4034" spans="1:15" x14ac:dyDescent="0.25">
      <c r="A4034" s="2" t="s">
        <v>15</v>
      </c>
      <c r="B4034" s="2" t="str">
        <f>"FES1162772700"</f>
        <v>FES1162772700</v>
      </c>
      <c r="C4034" s="2" t="s">
        <v>2384</v>
      </c>
      <c r="D4034" s="2">
        <v>1</v>
      </c>
      <c r="E4034" s="2" t="str">
        <f>"2170759572"</f>
        <v>2170759572</v>
      </c>
      <c r="F4034" s="2" t="s">
        <v>17</v>
      </c>
      <c r="G4034" s="2" t="s">
        <v>18</v>
      </c>
      <c r="H4034" s="2" t="s">
        <v>18</v>
      </c>
      <c r="I4034" s="2" t="s">
        <v>459</v>
      </c>
      <c r="J4034" s="2" t="s">
        <v>460</v>
      </c>
      <c r="K4034" s="2" t="s">
        <v>2490</v>
      </c>
      <c r="L4034" s="3">
        <v>0.41666666666666669</v>
      </c>
      <c r="M4034" s="2" t="s">
        <v>2534</v>
      </c>
      <c r="N4034" s="2" t="s">
        <v>500</v>
      </c>
      <c r="O4034" s="2"/>
    </row>
    <row r="4035" spans="1:15" x14ac:dyDescent="0.25">
      <c r="A4035" s="2" t="s">
        <v>15</v>
      </c>
      <c r="B4035" s="2" t="str">
        <f>"FES1162772781"</f>
        <v>FES1162772781</v>
      </c>
      <c r="C4035" s="2" t="s">
        <v>2384</v>
      </c>
      <c r="D4035" s="2">
        <v>1</v>
      </c>
      <c r="E4035" s="2" t="str">
        <f>"2170757884"</f>
        <v>2170757884</v>
      </c>
      <c r="F4035" s="2" t="s">
        <v>17</v>
      </c>
      <c r="G4035" s="2" t="s">
        <v>18</v>
      </c>
      <c r="H4035" s="2" t="s">
        <v>88</v>
      </c>
      <c r="I4035" s="2" t="s">
        <v>109</v>
      </c>
      <c r="J4035" s="2" t="s">
        <v>155</v>
      </c>
      <c r="K4035" s="2" t="s">
        <v>2490</v>
      </c>
      <c r="L4035" s="3">
        <v>0.36944444444444446</v>
      </c>
      <c r="M4035" s="2" t="s">
        <v>251</v>
      </c>
      <c r="N4035" s="2" t="s">
        <v>500</v>
      </c>
      <c r="O4035" s="2"/>
    </row>
    <row r="4036" spans="1:15" x14ac:dyDescent="0.25">
      <c r="A4036" s="2" t="s">
        <v>15</v>
      </c>
      <c r="B4036" s="2" t="str">
        <f>"FES1162772714"</f>
        <v>FES1162772714</v>
      </c>
      <c r="C4036" s="2" t="s">
        <v>2384</v>
      </c>
      <c r="D4036" s="2">
        <v>1</v>
      </c>
      <c r="E4036" s="2" t="str">
        <f>"2170757080"</f>
        <v>2170757080</v>
      </c>
      <c r="F4036" s="2" t="s">
        <v>17</v>
      </c>
      <c r="G4036" s="2" t="s">
        <v>18</v>
      </c>
      <c r="H4036" s="2" t="s">
        <v>25</v>
      </c>
      <c r="I4036" s="2" t="s">
        <v>42</v>
      </c>
      <c r="J4036" s="2" t="s">
        <v>43</v>
      </c>
      <c r="K4036" s="2" t="s">
        <v>2490</v>
      </c>
      <c r="L4036" s="3">
        <v>0.51527777777777783</v>
      </c>
      <c r="M4036" s="2" t="s">
        <v>180</v>
      </c>
      <c r="N4036" s="2" t="s">
        <v>500</v>
      </c>
      <c r="O4036" s="2"/>
    </row>
    <row r="4037" spans="1:15" x14ac:dyDescent="0.25">
      <c r="A4037" s="2" t="s">
        <v>15</v>
      </c>
      <c r="B4037" s="2" t="str">
        <f>"FES1162772713"</f>
        <v>FES1162772713</v>
      </c>
      <c r="C4037" s="2" t="s">
        <v>2384</v>
      </c>
      <c r="D4037" s="2">
        <v>1</v>
      </c>
      <c r="E4037" s="2" t="str">
        <f>"2170757037"</f>
        <v>2170757037</v>
      </c>
      <c r="F4037" s="2" t="s">
        <v>17</v>
      </c>
      <c r="G4037" s="2" t="s">
        <v>18</v>
      </c>
      <c r="H4037" s="2" t="s">
        <v>25</v>
      </c>
      <c r="I4037" s="2" t="s">
        <v>26</v>
      </c>
      <c r="J4037" s="2" t="s">
        <v>1443</v>
      </c>
      <c r="K4037" s="2" t="s">
        <v>2490</v>
      </c>
      <c r="L4037" s="3">
        <v>0.33263888888888887</v>
      </c>
      <c r="M4037" s="2" t="s">
        <v>1552</v>
      </c>
      <c r="N4037" s="2" t="s">
        <v>500</v>
      </c>
      <c r="O4037" s="2"/>
    </row>
    <row r="4038" spans="1:15" x14ac:dyDescent="0.25">
      <c r="A4038" s="22" t="s">
        <v>15</v>
      </c>
      <c r="B4038" s="22" t="str">
        <f>"FES1162772717"</f>
        <v>FES1162772717</v>
      </c>
      <c r="C4038" s="22" t="s">
        <v>2384</v>
      </c>
      <c r="D4038" s="22">
        <v>1</v>
      </c>
      <c r="E4038" s="22" t="str">
        <f>"2170757568"</f>
        <v>2170757568</v>
      </c>
      <c r="F4038" s="22" t="s">
        <v>17</v>
      </c>
      <c r="G4038" s="22" t="s">
        <v>18</v>
      </c>
      <c r="H4038" s="22" t="s">
        <v>30</v>
      </c>
      <c r="I4038" s="22" t="s">
        <v>147</v>
      </c>
      <c r="J4038" s="22" t="s">
        <v>148</v>
      </c>
      <c r="K4038" s="22" t="s">
        <v>2490</v>
      </c>
      <c r="L4038" s="22"/>
      <c r="M4038" s="22" t="s">
        <v>23</v>
      </c>
      <c r="N4038" s="22" t="s">
        <v>175</v>
      </c>
      <c r="O4038" s="22"/>
    </row>
    <row r="4039" spans="1:15" x14ac:dyDescent="0.25">
      <c r="A4039" s="2" t="s">
        <v>15</v>
      </c>
      <c r="B4039" s="2" t="str">
        <f>"FES1162772709"</f>
        <v>FES1162772709</v>
      </c>
      <c r="C4039" s="2" t="s">
        <v>2384</v>
      </c>
      <c r="D4039" s="2">
        <v>1</v>
      </c>
      <c r="E4039" s="2" t="str">
        <f>"2170756788"</f>
        <v>2170756788</v>
      </c>
      <c r="F4039" s="2" t="s">
        <v>17</v>
      </c>
      <c r="G4039" s="2" t="s">
        <v>18</v>
      </c>
      <c r="H4039" s="2" t="s">
        <v>25</v>
      </c>
      <c r="I4039" s="2" t="s">
        <v>26</v>
      </c>
      <c r="J4039" s="2" t="s">
        <v>27</v>
      </c>
      <c r="K4039" s="2" t="s">
        <v>2490</v>
      </c>
      <c r="L4039" s="3">
        <v>0.35694444444444445</v>
      </c>
      <c r="M4039" s="2" t="s">
        <v>521</v>
      </c>
      <c r="N4039" s="2" t="s">
        <v>500</v>
      </c>
      <c r="O4039" s="2"/>
    </row>
    <row r="4040" spans="1:15" x14ac:dyDescent="0.25">
      <c r="A4040" s="2" t="s">
        <v>15</v>
      </c>
      <c r="B4040" s="2" t="str">
        <f>"FES1162772719"</f>
        <v>FES1162772719</v>
      </c>
      <c r="C4040" s="2" t="s">
        <v>2384</v>
      </c>
      <c r="D4040" s="2">
        <v>1</v>
      </c>
      <c r="E4040" s="2" t="str">
        <f>"2170757705"</f>
        <v>2170757705</v>
      </c>
      <c r="F4040" s="2" t="s">
        <v>17</v>
      </c>
      <c r="G4040" s="2" t="s">
        <v>18</v>
      </c>
      <c r="H4040" s="2" t="s">
        <v>25</v>
      </c>
      <c r="I4040" s="2" t="s">
        <v>361</v>
      </c>
      <c r="J4040" s="2" t="s">
        <v>1400</v>
      </c>
      <c r="K4040" s="2" t="s">
        <v>2490</v>
      </c>
      <c r="L4040" s="3">
        <v>0.41666666666666669</v>
      </c>
      <c r="M4040" s="2" t="s">
        <v>1849</v>
      </c>
      <c r="N4040" s="2" t="s">
        <v>500</v>
      </c>
      <c r="O4040" s="2"/>
    </row>
    <row r="4041" spans="1:15" x14ac:dyDescent="0.25">
      <c r="A4041" s="2" t="s">
        <v>15</v>
      </c>
      <c r="B4041" s="2" t="str">
        <f>"FES1162772800"</f>
        <v>FES1162772800</v>
      </c>
      <c r="C4041" s="2" t="s">
        <v>2384</v>
      </c>
      <c r="D4041" s="2">
        <v>1</v>
      </c>
      <c r="E4041" s="2" t="str">
        <f>"2170758096"</f>
        <v>2170758096</v>
      </c>
      <c r="F4041" s="2" t="s">
        <v>17</v>
      </c>
      <c r="G4041" s="2" t="s">
        <v>18</v>
      </c>
      <c r="H4041" s="2" t="s">
        <v>88</v>
      </c>
      <c r="I4041" s="2" t="s">
        <v>612</v>
      </c>
      <c r="J4041" s="2" t="s">
        <v>1126</v>
      </c>
      <c r="K4041" s="2" t="s">
        <v>2490</v>
      </c>
      <c r="L4041" s="3">
        <v>0.60416666666666663</v>
      </c>
      <c r="M4041" s="2" t="s">
        <v>220</v>
      </c>
      <c r="N4041" s="2" t="s">
        <v>500</v>
      </c>
      <c r="O4041" s="2"/>
    </row>
    <row r="4042" spans="1:15" x14ac:dyDescent="0.25">
      <c r="A4042" s="2" t="s">
        <v>15</v>
      </c>
      <c r="B4042" s="2" t="str">
        <f>"FES1162772749"</f>
        <v>FES1162772749</v>
      </c>
      <c r="C4042" s="2" t="s">
        <v>2384</v>
      </c>
      <c r="D4042" s="2">
        <v>1</v>
      </c>
      <c r="E4042" s="2" t="str">
        <f>"2170757362"</f>
        <v>2170757362</v>
      </c>
      <c r="F4042" s="2" t="s">
        <v>480</v>
      </c>
      <c r="G4042" s="2" t="s">
        <v>206</v>
      </c>
      <c r="H4042" s="2" t="s">
        <v>2452</v>
      </c>
      <c r="I4042" s="2" t="s">
        <v>459</v>
      </c>
      <c r="J4042" s="2" t="s">
        <v>460</v>
      </c>
      <c r="K4042" s="2" t="s">
        <v>2490</v>
      </c>
      <c r="L4042" s="3">
        <v>0.33333333333333331</v>
      </c>
      <c r="M4042" s="2" t="s">
        <v>567</v>
      </c>
      <c r="N4042" s="2" t="s">
        <v>500</v>
      </c>
      <c r="O4042" s="2"/>
    </row>
    <row r="4043" spans="1:15" x14ac:dyDescent="0.25">
      <c r="A4043" s="2" t="s">
        <v>15</v>
      </c>
      <c r="B4043" s="2" t="str">
        <f>"FES1162772891"</f>
        <v>FES1162772891</v>
      </c>
      <c r="C4043" s="2" t="s">
        <v>2384</v>
      </c>
      <c r="D4043" s="2">
        <v>1</v>
      </c>
      <c r="E4043" s="2" t="str">
        <f>"2170759639"</f>
        <v>2170759639</v>
      </c>
      <c r="F4043" s="2" t="s">
        <v>17</v>
      </c>
      <c r="G4043" s="2" t="s">
        <v>18</v>
      </c>
      <c r="H4043" s="2" t="s">
        <v>88</v>
      </c>
      <c r="I4043" s="2" t="s">
        <v>109</v>
      </c>
      <c r="J4043" s="2" t="s">
        <v>110</v>
      </c>
      <c r="K4043" s="2" t="s">
        <v>2490</v>
      </c>
      <c r="L4043" s="3">
        <v>0.34375</v>
      </c>
      <c r="M4043" s="2" t="s">
        <v>224</v>
      </c>
      <c r="N4043" s="2" t="s">
        <v>500</v>
      </c>
      <c r="O4043" s="2"/>
    </row>
    <row r="4044" spans="1:15" x14ac:dyDescent="0.25">
      <c r="A4044" s="2" t="s">
        <v>15</v>
      </c>
      <c r="B4044" s="2" t="str">
        <f>"FES1162772886"</f>
        <v>FES1162772886</v>
      </c>
      <c r="C4044" s="2" t="s">
        <v>2384</v>
      </c>
      <c r="D4044" s="2">
        <v>1</v>
      </c>
      <c r="E4044" s="2" t="str">
        <f>"2170758833"</f>
        <v>2170758833</v>
      </c>
      <c r="F4044" s="2" t="s">
        <v>17</v>
      </c>
      <c r="G4044" s="2" t="s">
        <v>18</v>
      </c>
      <c r="H4044" s="2" t="s">
        <v>25</v>
      </c>
      <c r="I4044" s="2" t="s">
        <v>26</v>
      </c>
      <c r="J4044" s="2" t="s">
        <v>422</v>
      </c>
      <c r="K4044" s="2" t="s">
        <v>2490</v>
      </c>
      <c r="L4044" s="3">
        <v>0.36458333333333331</v>
      </c>
      <c r="M4044" s="2" t="s">
        <v>2524</v>
      </c>
      <c r="N4044" s="2" t="s">
        <v>500</v>
      </c>
      <c r="O4044" s="2"/>
    </row>
    <row r="4045" spans="1:15" x14ac:dyDescent="0.25">
      <c r="A4045" s="2" t="s">
        <v>15</v>
      </c>
      <c r="B4045" s="2" t="str">
        <f>"FES1162772739"</f>
        <v>FES1162772739</v>
      </c>
      <c r="C4045" s="2" t="s">
        <v>2384</v>
      </c>
      <c r="D4045" s="2">
        <v>1</v>
      </c>
      <c r="E4045" s="2" t="str">
        <f>"2170759627"</f>
        <v>2170759627</v>
      </c>
      <c r="F4045" s="2" t="s">
        <v>205</v>
      </c>
      <c r="G4045" s="2" t="s">
        <v>206</v>
      </c>
      <c r="H4045" s="2" t="s">
        <v>1116</v>
      </c>
      <c r="I4045" s="2" t="s">
        <v>437</v>
      </c>
      <c r="J4045" s="2" t="s">
        <v>110</v>
      </c>
      <c r="K4045" s="2" t="s">
        <v>2490</v>
      </c>
      <c r="L4045" s="3">
        <v>0.34375</v>
      </c>
      <c r="M4045" s="2" t="s">
        <v>224</v>
      </c>
      <c r="N4045" s="2" t="s">
        <v>500</v>
      </c>
      <c r="O4045" s="2"/>
    </row>
    <row r="4046" spans="1:15" x14ac:dyDescent="0.25">
      <c r="A4046" s="2" t="s">
        <v>15</v>
      </c>
      <c r="B4046" s="2" t="str">
        <f>"FES1162772845"</f>
        <v>FES1162772845</v>
      </c>
      <c r="C4046" s="2" t="s">
        <v>2384</v>
      </c>
      <c r="D4046" s="2">
        <v>1</v>
      </c>
      <c r="E4046" s="2" t="str">
        <f>"2170757782"</f>
        <v>2170757782</v>
      </c>
      <c r="F4046" s="2" t="s">
        <v>17</v>
      </c>
      <c r="G4046" s="2" t="s">
        <v>18</v>
      </c>
      <c r="H4046" s="2" t="s">
        <v>18</v>
      </c>
      <c r="I4046" s="2" t="s">
        <v>65</v>
      </c>
      <c r="J4046" s="2" t="s">
        <v>66</v>
      </c>
      <c r="K4046" s="2" t="s">
        <v>2490</v>
      </c>
      <c r="L4046" s="3">
        <v>0.3125</v>
      </c>
      <c r="M4046" s="2" t="s">
        <v>1186</v>
      </c>
      <c r="N4046" s="2" t="s">
        <v>500</v>
      </c>
      <c r="O4046" s="2"/>
    </row>
    <row r="4047" spans="1:15" x14ac:dyDescent="0.25">
      <c r="A4047" s="2" t="s">
        <v>15</v>
      </c>
      <c r="B4047" s="2" t="str">
        <f>"FES1162772779"</f>
        <v>FES1162772779</v>
      </c>
      <c r="C4047" s="2" t="s">
        <v>2384</v>
      </c>
      <c r="D4047" s="2">
        <v>1</v>
      </c>
      <c r="E4047" s="2" t="str">
        <f>"2170757871"</f>
        <v>2170757871</v>
      </c>
      <c r="F4047" s="2" t="s">
        <v>17</v>
      </c>
      <c r="G4047" s="2" t="s">
        <v>18</v>
      </c>
      <c r="H4047" s="2" t="s">
        <v>33</v>
      </c>
      <c r="I4047" s="2" t="s">
        <v>34</v>
      </c>
      <c r="J4047" s="2" t="s">
        <v>400</v>
      </c>
      <c r="K4047" s="2" t="s">
        <v>2490</v>
      </c>
      <c r="L4047" s="3">
        <v>0.43333333333333335</v>
      </c>
      <c r="M4047" s="2" t="s">
        <v>2529</v>
      </c>
      <c r="N4047" s="2" t="s">
        <v>500</v>
      </c>
      <c r="O4047" s="2"/>
    </row>
    <row r="4048" spans="1:15" x14ac:dyDescent="0.25">
      <c r="A4048" s="2" t="s">
        <v>15</v>
      </c>
      <c r="B4048" s="2" t="str">
        <f>"FES1162772793"</f>
        <v>FES1162772793</v>
      </c>
      <c r="C4048" s="2" t="s">
        <v>2384</v>
      </c>
      <c r="D4048" s="2">
        <v>1</v>
      </c>
      <c r="E4048" s="2" t="str">
        <f>"2170757984"</f>
        <v>2170757984</v>
      </c>
      <c r="F4048" s="2" t="s">
        <v>17</v>
      </c>
      <c r="G4048" s="2" t="s">
        <v>18</v>
      </c>
      <c r="H4048" s="2" t="s">
        <v>33</v>
      </c>
      <c r="I4048" s="2" t="s">
        <v>34</v>
      </c>
      <c r="J4048" s="2" t="s">
        <v>2362</v>
      </c>
      <c r="K4048" s="2" t="s">
        <v>2490</v>
      </c>
      <c r="L4048" s="3">
        <v>0.41875000000000001</v>
      </c>
      <c r="M4048" s="2" t="s">
        <v>2387</v>
      </c>
      <c r="N4048" s="2" t="s">
        <v>500</v>
      </c>
      <c r="O4048" s="2"/>
    </row>
    <row r="4049" spans="1:15" x14ac:dyDescent="0.25">
      <c r="A4049" s="2" t="s">
        <v>15</v>
      </c>
      <c r="B4049" s="2" t="str">
        <f>"FES1162772784"</f>
        <v>FES1162772784</v>
      </c>
      <c r="C4049" s="2" t="s">
        <v>2384</v>
      </c>
      <c r="D4049" s="2">
        <v>1</v>
      </c>
      <c r="E4049" s="2" t="str">
        <f>"2170757909"</f>
        <v>2170757909</v>
      </c>
      <c r="F4049" s="2" t="s">
        <v>17</v>
      </c>
      <c r="G4049" s="2" t="s">
        <v>18</v>
      </c>
      <c r="H4049" s="2" t="s">
        <v>18</v>
      </c>
      <c r="I4049" s="2" t="s">
        <v>63</v>
      </c>
      <c r="J4049" s="2" t="s">
        <v>93</v>
      </c>
      <c r="K4049" s="2" t="s">
        <v>2490</v>
      </c>
      <c r="L4049" s="3">
        <v>0.34027777777777773</v>
      </c>
      <c r="M4049" s="2" t="s">
        <v>397</v>
      </c>
      <c r="N4049" s="2" t="s">
        <v>500</v>
      </c>
      <c r="O4049" s="2"/>
    </row>
    <row r="4050" spans="1:15" x14ac:dyDescent="0.25">
      <c r="A4050" s="2" t="s">
        <v>15</v>
      </c>
      <c r="B4050" s="2" t="str">
        <f>"FES1162772895"</f>
        <v>FES1162772895</v>
      </c>
      <c r="C4050" s="2" t="s">
        <v>2384</v>
      </c>
      <c r="D4050" s="2">
        <v>1</v>
      </c>
      <c r="E4050" s="2" t="str">
        <f>"2170759648"</f>
        <v>2170759648</v>
      </c>
      <c r="F4050" s="2" t="s">
        <v>17</v>
      </c>
      <c r="G4050" s="2" t="s">
        <v>18</v>
      </c>
      <c r="H4050" s="2" t="s">
        <v>18</v>
      </c>
      <c r="I4050" s="2" t="s">
        <v>57</v>
      </c>
      <c r="J4050" s="2" t="s">
        <v>298</v>
      </c>
      <c r="K4050" s="2" t="s">
        <v>2490</v>
      </c>
      <c r="L4050" s="3">
        <v>0.3430555555555555</v>
      </c>
      <c r="M4050" s="2" t="s">
        <v>2535</v>
      </c>
      <c r="N4050" s="2" t="s">
        <v>500</v>
      </c>
      <c r="O4050" s="2"/>
    </row>
    <row r="4051" spans="1:15" x14ac:dyDescent="0.25">
      <c r="A4051" s="22" t="s">
        <v>15</v>
      </c>
      <c r="B4051" s="22" t="str">
        <f>"FES1162772846"</f>
        <v>FES1162772846</v>
      </c>
      <c r="C4051" s="22" t="s">
        <v>2384</v>
      </c>
      <c r="D4051" s="22">
        <v>1</v>
      </c>
      <c r="E4051" s="22" t="str">
        <f>"2170757785"</f>
        <v>2170757785</v>
      </c>
      <c r="F4051" s="22" t="s">
        <v>17</v>
      </c>
      <c r="G4051" s="22" t="s">
        <v>18</v>
      </c>
      <c r="H4051" s="22" t="s">
        <v>36</v>
      </c>
      <c r="I4051" s="22" t="s">
        <v>496</v>
      </c>
      <c r="J4051" s="22" t="s">
        <v>497</v>
      </c>
      <c r="K4051" s="22" t="s">
        <v>2490</v>
      </c>
      <c r="L4051" s="22"/>
      <c r="M4051" s="22" t="s">
        <v>23</v>
      </c>
      <c r="N4051" s="22" t="s">
        <v>175</v>
      </c>
      <c r="O4051" s="22"/>
    </row>
    <row r="4052" spans="1:15" x14ac:dyDescent="0.25">
      <c r="A4052" s="2" t="s">
        <v>15</v>
      </c>
      <c r="B4052" s="2" t="str">
        <f>"FES1162772775"</f>
        <v>FES1162772775</v>
      </c>
      <c r="C4052" s="2" t="s">
        <v>2384</v>
      </c>
      <c r="D4052" s="2">
        <v>1</v>
      </c>
      <c r="E4052" s="2" t="str">
        <f>"2170757826"</f>
        <v>2170757826</v>
      </c>
      <c r="F4052" s="2" t="s">
        <v>17</v>
      </c>
      <c r="G4052" s="2" t="s">
        <v>18</v>
      </c>
      <c r="H4052" s="2" t="s">
        <v>19</v>
      </c>
      <c r="I4052" s="2" t="s">
        <v>73</v>
      </c>
      <c r="J4052" s="2" t="s">
        <v>76</v>
      </c>
      <c r="K4052" s="2" t="s">
        <v>2490</v>
      </c>
      <c r="L4052" s="3">
        <v>0.45277777777777778</v>
      </c>
      <c r="M4052" s="2" t="s">
        <v>197</v>
      </c>
      <c r="N4052" s="2" t="s">
        <v>500</v>
      </c>
      <c r="O4052" s="2"/>
    </row>
    <row r="4053" spans="1:15" x14ac:dyDescent="0.25">
      <c r="A4053" s="2" t="s">
        <v>15</v>
      </c>
      <c r="B4053" s="2" t="str">
        <f>"FES1162772865"</f>
        <v>FES1162772865</v>
      </c>
      <c r="C4053" s="2" t="s">
        <v>2384</v>
      </c>
      <c r="D4053" s="2">
        <v>1</v>
      </c>
      <c r="E4053" s="2" t="str">
        <f>"2170757957"</f>
        <v>2170757957</v>
      </c>
      <c r="F4053" s="2" t="s">
        <v>17</v>
      </c>
      <c r="G4053" s="2" t="s">
        <v>18</v>
      </c>
      <c r="H4053" s="2" t="s">
        <v>25</v>
      </c>
      <c r="I4053" s="2" t="s">
        <v>26</v>
      </c>
      <c r="J4053" s="2" t="s">
        <v>127</v>
      </c>
      <c r="K4053" s="2" t="s">
        <v>2490</v>
      </c>
      <c r="L4053" s="3">
        <v>0.3923611111111111</v>
      </c>
      <c r="M4053" s="2" t="s">
        <v>1209</v>
      </c>
      <c r="N4053" s="2" t="s">
        <v>500</v>
      </c>
      <c r="O4053" s="2"/>
    </row>
    <row r="4054" spans="1:15" x14ac:dyDescent="0.25">
      <c r="A4054" s="2" t="s">
        <v>15</v>
      </c>
      <c r="B4054" s="2" t="str">
        <f>"FES1162772915"</f>
        <v>FES1162772915</v>
      </c>
      <c r="C4054" s="2" t="s">
        <v>2384</v>
      </c>
      <c r="D4054" s="2">
        <v>1</v>
      </c>
      <c r="E4054" s="2" t="str">
        <f>"2170759265"</f>
        <v>2170759265</v>
      </c>
      <c r="F4054" s="2" t="s">
        <v>17</v>
      </c>
      <c r="G4054" s="2" t="s">
        <v>18</v>
      </c>
      <c r="H4054" s="2" t="s">
        <v>25</v>
      </c>
      <c r="I4054" s="2" t="s">
        <v>42</v>
      </c>
      <c r="J4054" s="2" t="s">
        <v>43</v>
      </c>
      <c r="K4054" s="2" t="s">
        <v>2490</v>
      </c>
      <c r="L4054" s="3">
        <v>0.51527777777777783</v>
      </c>
      <c r="M4054" s="2" t="s">
        <v>180</v>
      </c>
      <c r="N4054" s="2" t="s">
        <v>500</v>
      </c>
      <c r="O4054" s="2"/>
    </row>
    <row r="4055" spans="1:15" x14ac:dyDescent="0.25">
      <c r="A4055" s="2" t="s">
        <v>15</v>
      </c>
      <c r="B4055" s="2" t="str">
        <f>"FES1162772686"</f>
        <v>FES1162772686</v>
      </c>
      <c r="C4055" s="2" t="s">
        <v>2384</v>
      </c>
      <c r="D4055" s="2">
        <v>1</v>
      </c>
      <c r="E4055" s="2" t="str">
        <f>"2170759576"</f>
        <v>2170759576</v>
      </c>
      <c r="F4055" s="2" t="s">
        <v>17</v>
      </c>
      <c r="G4055" s="2" t="s">
        <v>18</v>
      </c>
      <c r="H4055" s="2" t="s">
        <v>18</v>
      </c>
      <c r="I4055" s="2" t="s">
        <v>50</v>
      </c>
      <c r="J4055" s="2" t="s">
        <v>641</v>
      </c>
      <c r="K4055" s="2" t="s">
        <v>2490</v>
      </c>
      <c r="L4055" s="3">
        <v>0.375</v>
      </c>
      <c r="M4055" s="2" t="s">
        <v>2536</v>
      </c>
      <c r="N4055" s="2" t="s">
        <v>500</v>
      </c>
      <c r="O4055" s="2"/>
    </row>
    <row r="4056" spans="1:15" x14ac:dyDescent="0.25">
      <c r="A4056" s="2" t="s">
        <v>15</v>
      </c>
      <c r="B4056" s="2" t="str">
        <f>"FES1162772906"</f>
        <v>FES1162772906</v>
      </c>
      <c r="C4056" s="2" t="s">
        <v>2384</v>
      </c>
      <c r="D4056" s="2">
        <v>1</v>
      </c>
      <c r="E4056" s="2" t="str">
        <f>"2170759659"</f>
        <v>2170759659</v>
      </c>
      <c r="F4056" s="2" t="s">
        <v>17</v>
      </c>
      <c r="G4056" s="2" t="s">
        <v>18</v>
      </c>
      <c r="H4056" s="2" t="s">
        <v>19</v>
      </c>
      <c r="I4056" s="2" t="s">
        <v>269</v>
      </c>
      <c r="J4056" s="2" t="s">
        <v>655</v>
      </c>
      <c r="K4056" s="2" t="s">
        <v>2490</v>
      </c>
      <c r="L4056" s="3">
        <v>0.52500000000000002</v>
      </c>
      <c r="M4056" s="2" t="s">
        <v>2537</v>
      </c>
      <c r="N4056" s="2" t="s">
        <v>500</v>
      </c>
      <c r="O4056" s="2"/>
    </row>
    <row r="4057" spans="1:15" x14ac:dyDescent="0.25">
      <c r="A4057" s="2" t="s">
        <v>15</v>
      </c>
      <c r="B4057" s="2" t="str">
        <f>"FES1162772761"</f>
        <v>FES1162772761</v>
      </c>
      <c r="C4057" s="2" t="s">
        <v>2384</v>
      </c>
      <c r="D4057" s="2">
        <v>1</v>
      </c>
      <c r="E4057" s="2" t="str">
        <f>"2170757681"</f>
        <v>2170757681</v>
      </c>
      <c r="F4057" s="2" t="s">
        <v>17</v>
      </c>
      <c r="G4057" s="2" t="s">
        <v>18</v>
      </c>
      <c r="H4057" s="2" t="s">
        <v>18</v>
      </c>
      <c r="I4057" s="2" t="s">
        <v>57</v>
      </c>
      <c r="J4057" s="2" t="s">
        <v>903</v>
      </c>
      <c r="K4057" s="2" t="s">
        <v>2490</v>
      </c>
      <c r="L4057" s="3">
        <v>0.375</v>
      </c>
      <c r="M4057" s="2" t="s">
        <v>1072</v>
      </c>
      <c r="N4057" s="2" t="s">
        <v>500</v>
      </c>
      <c r="O4057" s="2"/>
    </row>
    <row r="4058" spans="1:15" x14ac:dyDescent="0.25">
      <c r="A4058" s="2" t="s">
        <v>15</v>
      </c>
      <c r="B4058" s="2" t="str">
        <f>"FES1162772734"</f>
        <v>FES1162772734</v>
      </c>
      <c r="C4058" s="2" t="s">
        <v>2384</v>
      </c>
      <c r="D4058" s="2">
        <v>1</v>
      </c>
      <c r="E4058" s="2" t="str">
        <f>"2170759611"</f>
        <v>2170759611</v>
      </c>
      <c r="F4058" s="2" t="s">
        <v>17</v>
      </c>
      <c r="G4058" s="2" t="s">
        <v>18</v>
      </c>
      <c r="H4058" s="2" t="s">
        <v>18</v>
      </c>
      <c r="I4058" s="2" t="s">
        <v>46</v>
      </c>
      <c r="J4058" s="2" t="s">
        <v>2501</v>
      </c>
      <c r="K4058" s="2" t="s">
        <v>2490</v>
      </c>
      <c r="L4058" s="3">
        <v>0.34861111111111115</v>
      </c>
      <c r="M4058" s="2" t="s">
        <v>2538</v>
      </c>
      <c r="N4058" s="2" t="s">
        <v>500</v>
      </c>
      <c r="O4058" s="2"/>
    </row>
    <row r="4059" spans="1:15" x14ac:dyDescent="0.25">
      <c r="A4059" s="21" t="s">
        <v>15</v>
      </c>
      <c r="B4059" s="21" t="str">
        <f>"FES1162772715"</f>
        <v>FES1162772715</v>
      </c>
      <c r="C4059" s="21" t="s">
        <v>2384</v>
      </c>
      <c r="D4059" s="21">
        <v>1</v>
      </c>
      <c r="E4059" s="21" t="str">
        <f>"2170757490"</f>
        <v>2170757490</v>
      </c>
      <c r="F4059" s="21" t="s">
        <v>205</v>
      </c>
      <c r="G4059" s="21" t="s">
        <v>206</v>
      </c>
      <c r="H4059" s="21" t="s">
        <v>206</v>
      </c>
      <c r="I4059" s="21" t="s">
        <v>95</v>
      </c>
      <c r="J4059" s="21" t="s">
        <v>96</v>
      </c>
      <c r="K4059" s="21" t="s">
        <v>2520</v>
      </c>
      <c r="L4059" s="21"/>
      <c r="M4059" s="21" t="s">
        <v>23</v>
      </c>
      <c r="N4059" s="21" t="s">
        <v>24</v>
      </c>
      <c r="O4059" s="21"/>
    </row>
    <row r="4060" spans="1:15" x14ac:dyDescent="0.25">
      <c r="A4060" s="2" t="s">
        <v>15</v>
      </c>
      <c r="B4060" s="2" t="str">
        <f>"FES1162772716"</f>
        <v>FES1162772716</v>
      </c>
      <c r="C4060" s="2" t="s">
        <v>2384</v>
      </c>
      <c r="D4060" s="2">
        <v>1</v>
      </c>
      <c r="E4060" s="2" t="str">
        <f>"2170757515"</f>
        <v>2170757515</v>
      </c>
      <c r="F4060" s="2" t="s">
        <v>17</v>
      </c>
      <c r="G4060" s="2" t="s">
        <v>18</v>
      </c>
      <c r="H4060" s="2" t="s">
        <v>36</v>
      </c>
      <c r="I4060" s="2" t="s">
        <v>67</v>
      </c>
      <c r="J4060" s="2" t="s">
        <v>146</v>
      </c>
      <c r="K4060" s="2" t="s">
        <v>2490</v>
      </c>
      <c r="L4060" s="3">
        <v>0.35416666666666669</v>
      </c>
      <c r="M4060" s="2" t="s">
        <v>2539</v>
      </c>
      <c r="N4060" s="2" t="s">
        <v>500</v>
      </c>
      <c r="O4060" s="2"/>
    </row>
    <row r="4061" spans="1:15" x14ac:dyDescent="0.25">
      <c r="A4061" s="2" t="s">
        <v>15</v>
      </c>
      <c r="B4061" s="2" t="str">
        <f>"FES1162772848"</f>
        <v>FES1162772848</v>
      </c>
      <c r="C4061" s="2" t="s">
        <v>2384</v>
      </c>
      <c r="D4061" s="2">
        <v>1</v>
      </c>
      <c r="E4061" s="2" t="str">
        <f>"2170757806"</f>
        <v>2170757806</v>
      </c>
      <c r="F4061" s="2" t="s">
        <v>205</v>
      </c>
      <c r="G4061" s="2" t="s">
        <v>206</v>
      </c>
      <c r="H4061" s="2" t="s">
        <v>206</v>
      </c>
      <c r="I4061" s="2" t="s">
        <v>157</v>
      </c>
      <c r="J4061" s="2" t="s">
        <v>158</v>
      </c>
      <c r="K4061" s="2" t="s">
        <v>2490</v>
      </c>
      <c r="L4061" s="3">
        <v>0.4375</v>
      </c>
      <c r="M4061" s="2" t="s">
        <v>253</v>
      </c>
      <c r="N4061" s="2" t="s">
        <v>500</v>
      </c>
      <c r="O4061" s="2"/>
    </row>
    <row r="4062" spans="1:15" x14ac:dyDescent="0.25">
      <c r="A4062" s="2" t="s">
        <v>15</v>
      </c>
      <c r="B4062" s="2" t="str">
        <f>"FES1162772908"</f>
        <v>FES1162772908</v>
      </c>
      <c r="C4062" s="2" t="s">
        <v>2384</v>
      </c>
      <c r="D4062" s="2">
        <v>1</v>
      </c>
      <c r="E4062" s="2" t="str">
        <f>"2170759661"</f>
        <v>2170759661</v>
      </c>
      <c r="F4062" s="2" t="s">
        <v>17</v>
      </c>
      <c r="G4062" s="2" t="s">
        <v>18</v>
      </c>
      <c r="H4062" s="2" t="s">
        <v>18</v>
      </c>
      <c r="I4062" s="2" t="s">
        <v>478</v>
      </c>
      <c r="J4062" s="2" t="s">
        <v>2502</v>
      </c>
      <c r="K4062" s="2" t="s">
        <v>2490</v>
      </c>
      <c r="L4062" s="3">
        <v>0.43194444444444446</v>
      </c>
      <c r="M4062" s="2" t="s">
        <v>261</v>
      </c>
      <c r="N4062" s="2" t="s">
        <v>500</v>
      </c>
      <c r="O4062" s="2"/>
    </row>
    <row r="4063" spans="1:15" x14ac:dyDescent="0.25">
      <c r="A4063" s="2" t="s">
        <v>15</v>
      </c>
      <c r="B4063" s="2" t="str">
        <f>"FES1162772791"</f>
        <v>FES1162772791</v>
      </c>
      <c r="C4063" s="2" t="s">
        <v>2384</v>
      </c>
      <c r="D4063" s="2">
        <v>1</v>
      </c>
      <c r="E4063" s="2" t="str">
        <f>"2170757972"</f>
        <v>2170757972</v>
      </c>
      <c r="F4063" s="2" t="s">
        <v>17</v>
      </c>
      <c r="G4063" s="2" t="s">
        <v>18</v>
      </c>
      <c r="H4063" s="2" t="s">
        <v>78</v>
      </c>
      <c r="I4063" s="2" t="s">
        <v>79</v>
      </c>
      <c r="J4063" s="2" t="s">
        <v>446</v>
      </c>
      <c r="K4063" s="2" t="s">
        <v>2490</v>
      </c>
      <c r="L4063" s="3">
        <v>0.4284722222222222</v>
      </c>
      <c r="M4063" s="2" t="s">
        <v>2540</v>
      </c>
      <c r="N4063" s="2" t="s">
        <v>500</v>
      </c>
      <c r="O4063" s="2"/>
    </row>
    <row r="4064" spans="1:15" x14ac:dyDescent="0.25">
      <c r="A4064" s="2" t="s">
        <v>15</v>
      </c>
      <c r="B4064" s="2" t="str">
        <f>"FES1162772863"</f>
        <v>FES1162772863</v>
      </c>
      <c r="C4064" s="2" t="s">
        <v>2384</v>
      </c>
      <c r="D4064" s="2">
        <v>1</v>
      </c>
      <c r="E4064" s="2" t="str">
        <f>"2170757929"</f>
        <v>2170757929</v>
      </c>
      <c r="F4064" s="2" t="s">
        <v>17</v>
      </c>
      <c r="G4064" s="2" t="s">
        <v>18</v>
      </c>
      <c r="H4064" s="2" t="s">
        <v>18</v>
      </c>
      <c r="I4064" s="2" t="s">
        <v>63</v>
      </c>
      <c r="J4064" s="2" t="s">
        <v>1800</v>
      </c>
      <c r="K4064" s="2" t="s">
        <v>2490</v>
      </c>
      <c r="L4064" s="3">
        <v>0.35069444444444442</v>
      </c>
      <c r="M4064" s="2" t="s">
        <v>2541</v>
      </c>
      <c r="N4064" s="2" t="s">
        <v>500</v>
      </c>
      <c r="O4064" s="2"/>
    </row>
    <row r="4065" spans="1:15" x14ac:dyDescent="0.25">
      <c r="A4065" s="2" t="s">
        <v>15</v>
      </c>
      <c r="B4065" s="2" t="str">
        <f>"FES1162772752"</f>
        <v>FES1162772752</v>
      </c>
      <c r="C4065" s="2" t="s">
        <v>2384</v>
      </c>
      <c r="D4065" s="2">
        <v>1</v>
      </c>
      <c r="E4065" s="2" t="str">
        <f>"2170757591"</f>
        <v>2170757591</v>
      </c>
      <c r="F4065" s="2" t="s">
        <v>17</v>
      </c>
      <c r="G4065" s="2" t="s">
        <v>18</v>
      </c>
      <c r="H4065" s="2" t="s">
        <v>18</v>
      </c>
      <c r="I4065" s="2" t="s">
        <v>82</v>
      </c>
      <c r="J4065" s="2" t="s">
        <v>2360</v>
      </c>
      <c r="K4065" s="2" t="s">
        <v>2490</v>
      </c>
      <c r="L4065" s="3">
        <v>0.41666666666666669</v>
      </c>
      <c r="M4065" s="2" t="s">
        <v>2542</v>
      </c>
      <c r="N4065" s="2" t="s">
        <v>500</v>
      </c>
      <c r="O4065" s="2"/>
    </row>
    <row r="4066" spans="1:15" x14ac:dyDescent="0.25">
      <c r="A4066" s="21" t="s">
        <v>15</v>
      </c>
      <c r="B4066" s="21" t="str">
        <f>"FES1162772877"</f>
        <v>FES1162772877</v>
      </c>
      <c r="C4066" s="21" t="s">
        <v>2384</v>
      </c>
      <c r="D4066" s="21">
        <v>1</v>
      </c>
      <c r="E4066" s="21" t="str">
        <f>"2170758069"</f>
        <v>2170758069</v>
      </c>
      <c r="F4066" s="21" t="s">
        <v>17</v>
      </c>
      <c r="G4066" s="21" t="s">
        <v>18</v>
      </c>
      <c r="H4066" s="21" t="s">
        <v>18</v>
      </c>
      <c r="I4066" s="21" t="s">
        <v>157</v>
      </c>
      <c r="J4066" s="21" t="s">
        <v>2060</v>
      </c>
      <c r="K4066" s="21" t="s">
        <v>2520</v>
      </c>
      <c r="L4066" s="21"/>
      <c r="M4066" s="21" t="s">
        <v>23</v>
      </c>
      <c r="N4066" s="21" t="s">
        <v>24</v>
      </c>
      <c r="O4066" s="21"/>
    </row>
    <row r="4067" spans="1:15" x14ac:dyDescent="0.25">
      <c r="A4067" s="2" t="s">
        <v>15</v>
      </c>
      <c r="B4067" s="2" t="str">
        <f>"FES1162772901"</f>
        <v>FES1162772901</v>
      </c>
      <c r="C4067" s="2" t="s">
        <v>2384</v>
      </c>
      <c r="D4067" s="2">
        <v>1</v>
      </c>
      <c r="E4067" s="2" t="str">
        <f>"2170759657"</f>
        <v>2170759657</v>
      </c>
      <c r="F4067" s="2" t="s">
        <v>17</v>
      </c>
      <c r="G4067" s="2" t="s">
        <v>18</v>
      </c>
      <c r="H4067" s="2" t="s">
        <v>18</v>
      </c>
      <c r="I4067" s="2" t="s">
        <v>57</v>
      </c>
      <c r="J4067" s="2" t="s">
        <v>1313</v>
      </c>
      <c r="K4067" s="2" t="s">
        <v>2490</v>
      </c>
      <c r="L4067" s="3">
        <v>0.33611111111111108</v>
      </c>
      <c r="M4067" s="2" t="s">
        <v>1186</v>
      </c>
      <c r="N4067" s="2" t="s">
        <v>500</v>
      </c>
      <c r="O4067" s="2"/>
    </row>
    <row r="4068" spans="1:15" x14ac:dyDescent="0.25">
      <c r="A4068" s="2" t="s">
        <v>15</v>
      </c>
      <c r="B4068" s="2" t="str">
        <f>"FES1162772773"</f>
        <v>FES1162772773</v>
      </c>
      <c r="C4068" s="2" t="s">
        <v>2384</v>
      </c>
      <c r="D4068" s="2">
        <v>1</v>
      </c>
      <c r="E4068" s="2" t="str">
        <f>"2170757813"</f>
        <v>2170757813</v>
      </c>
      <c r="F4068" s="2" t="s">
        <v>17</v>
      </c>
      <c r="G4068" s="2" t="s">
        <v>18</v>
      </c>
      <c r="H4068" s="2" t="s">
        <v>25</v>
      </c>
      <c r="I4068" s="2" t="s">
        <v>26</v>
      </c>
      <c r="J4068" s="2" t="s">
        <v>427</v>
      </c>
      <c r="K4068" s="2" t="s">
        <v>2490</v>
      </c>
      <c r="L4068" s="3">
        <v>0.41944444444444445</v>
      </c>
      <c r="M4068" s="2" t="s">
        <v>2543</v>
      </c>
      <c r="N4068" s="2" t="s">
        <v>500</v>
      </c>
      <c r="O4068" s="2"/>
    </row>
    <row r="4069" spans="1:15" x14ac:dyDescent="0.25">
      <c r="A4069" s="2" t="s">
        <v>15</v>
      </c>
      <c r="B4069" s="2" t="str">
        <f>"FES1162772783"</f>
        <v>FES1162772783</v>
      </c>
      <c r="C4069" s="2" t="s">
        <v>2384</v>
      </c>
      <c r="D4069" s="2">
        <v>1</v>
      </c>
      <c r="E4069" s="2" t="str">
        <f>"2170757904"</f>
        <v>2170757904</v>
      </c>
      <c r="F4069" s="2" t="s">
        <v>480</v>
      </c>
      <c r="G4069" s="2" t="s">
        <v>206</v>
      </c>
      <c r="H4069" s="2" t="s">
        <v>206</v>
      </c>
      <c r="I4069" s="2" t="s">
        <v>329</v>
      </c>
      <c r="J4069" s="2" t="s">
        <v>1311</v>
      </c>
      <c r="K4069" s="2" t="s">
        <v>2490</v>
      </c>
      <c r="L4069" s="3">
        <v>0.375</v>
      </c>
      <c r="M4069" s="2" t="s">
        <v>2544</v>
      </c>
      <c r="N4069" s="2" t="s">
        <v>500</v>
      </c>
      <c r="O4069" s="2"/>
    </row>
    <row r="4070" spans="1:15" x14ac:dyDescent="0.25">
      <c r="A4070" s="2" t="s">
        <v>15</v>
      </c>
      <c r="B4070" s="2" t="str">
        <f>"FES1162772763"</f>
        <v>FES1162772763</v>
      </c>
      <c r="C4070" s="2" t="s">
        <v>2384</v>
      </c>
      <c r="D4070" s="2">
        <v>1</v>
      </c>
      <c r="E4070" s="2" t="str">
        <f>"2170757705"</f>
        <v>2170757705</v>
      </c>
      <c r="F4070" s="2" t="s">
        <v>17</v>
      </c>
      <c r="G4070" s="2" t="s">
        <v>18</v>
      </c>
      <c r="H4070" s="2" t="s">
        <v>25</v>
      </c>
      <c r="I4070" s="2" t="s">
        <v>361</v>
      </c>
      <c r="J4070" s="2" t="s">
        <v>1400</v>
      </c>
      <c r="K4070" s="2" t="s">
        <v>2490</v>
      </c>
      <c r="L4070" s="3">
        <v>0.41666666666666669</v>
      </c>
      <c r="M4070" s="2" t="s">
        <v>1849</v>
      </c>
      <c r="N4070" s="2" t="s">
        <v>500</v>
      </c>
      <c r="O4070" s="2"/>
    </row>
    <row r="4071" spans="1:15" x14ac:dyDescent="0.25">
      <c r="A4071" s="22" t="s">
        <v>15</v>
      </c>
      <c r="B4071" s="22" t="str">
        <f>"FES1162772774"</f>
        <v>FES1162772774</v>
      </c>
      <c r="C4071" s="22" t="s">
        <v>2384</v>
      </c>
      <c r="D4071" s="22">
        <v>1</v>
      </c>
      <c r="E4071" s="22" t="str">
        <f>"2170757824"</f>
        <v>2170757824</v>
      </c>
      <c r="F4071" s="22" t="s">
        <v>17</v>
      </c>
      <c r="G4071" s="22" t="s">
        <v>18</v>
      </c>
      <c r="H4071" s="22" t="s">
        <v>25</v>
      </c>
      <c r="I4071" s="22" t="s">
        <v>26</v>
      </c>
      <c r="J4071" s="22" t="s">
        <v>474</v>
      </c>
      <c r="K4071" s="22" t="s">
        <v>2490</v>
      </c>
      <c r="L4071" s="22"/>
      <c r="M4071" s="22" t="s">
        <v>23</v>
      </c>
      <c r="N4071" s="22" t="s">
        <v>175</v>
      </c>
      <c r="O4071" s="22"/>
    </row>
    <row r="4072" spans="1:15" x14ac:dyDescent="0.25">
      <c r="A4072" s="2" t="s">
        <v>15</v>
      </c>
      <c r="B4072" s="2" t="str">
        <f>"FES1162772707"</f>
        <v>FES1162772707</v>
      </c>
      <c r="C4072" s="2" t="s">
        <v>2384</v>
      </c>
      <c r="D4072" s="2">
        <v>1</v>
      </c>
      <c r="E4072" s="2" t="str">
        <f>"2170756189"</f>
        <v>2170756189</v>
      </c>
      <c r="F4072" s="2" t="s">
        <v>17</v>
      </c>
      <c r="G4072" s="2" t="s">
        <v>18</v>
      </c>
      <c r="H4072" s="2" t="s">
        <v>36</v>
      </c>
      <c r="I4072" s="2" t="s">
        <v>37</v>
      </c>
      <c r="J4072" s="2" t="s">
        <v>102</v>
      </c>
      <c r="K4072" s="2" t="s">
        <v>2490</v>
      </c>
      <c r="L4072" s="3">
        <v>0.41666666666666669</v>
      </c>
      <c r="M4072" s="2" t="s">
        <v>1872</v>
      </c>
      <c r="N4072" s="2" t="s">
        <v>500</v>
      </c>
      <c r="O4072" s="2"/>
    </row>
    <row r="4073" spans="1:15" x14ac:dyDescent="0.25">
      <c r="A4073" s="2" t="s">
        <v>15</v>
      </c>
      <c r="B4073" s="2" t="str">
        <f>"FES1162772860"</f>
        <v>FES1162772860</v>
      </c>
      <c r="C4073" s="2" t="s">
        <v>2384</v>
      </c>
      <c r="D4073" s="2">
        <v>1</v>
      </c>
      <c r="E4073" s="2" t="str">
        <f>"2170757891"</f>
        <v>2170757891</v>
      </c>
      <c r="F4073" s="2" t="s">
        <v>17</v>
      </c>
      <c r="G4073" s="2" t="s">
        <v>18</v>
      </c>
      <c r="H4073" s="2" t="s">
        <v>25</v>
      </c>
      <c r="I4073" s="2" t="s">
        <v>125</v>
      </c>
      <c r="J4073" s="2" t="s">
        <v>126</v>
      </c>
      <c r="K4073" s="2" t="s">
        <v>2490</v>
      </c>
      <c r="L4073" s="3">
        <v>0.53194444444444444</v>
      </c>
      <c r="M4073" s="2" t="s">
        <v>2545</v>
      </c>
      <c r="N4073" s="2" t="s">
        <v>500</v>
      </c>
      <c r="O4073" s="2"/>
    </row>
    <row r="4074" spans="1:15" x14ac:dyDescent="0.25">
      <c r="A4074" s="2" t="s">
        <v>15</v>
      </c>
      <c r="B4074" s="2" t="str">
        <f>"FES1162772764"</f>
        <v>FES1162772764</v>
      </c>
      <c r="C4074" s="2" t="s">
        <v>2384</v>
      </c>
      <c r="D4074" s="2">
        <v>1</v>
      </c>
      <c r="E4074" s="2" t="str">
        <f>"2170757730"</f>
        <v>2170757730</v>
      </c>
      <c r="F4074" s="2" t="s">
        <v>17</v>
      </c>
      <c r="G4074" s="2" t="s">
        <v>18</v>
      </c>
      <c r="H4074" s="2" t="s">
        <v>25</v>
      </c>
      <c r="I4074" s="2" t="s">
        <v>26</v>
      </c>
      <c r="J4074" s="2" t="s">
        <v>2503</v>
      </c>
      <c r="K4074" s="2" t="s">
        <v>2490</v>
      </c>
      <c r="L4074" s="3">
        <v>0.4375</v>
      </c>
      <c r="M4074" s="2" t="s">
        <v>2546</v>
      </c>
      <c r="N4074" s="2" t="s">
        <v>500</v>
      </c>
      <c r="O4074" s="2"/>
    </row>
    <row r="4075" spans="1:15" x14ac:dyDescent="0.25">
      <c r="A4075" s="2" t="s">
        <v>15</v>
      </c>
      <c r="B4075" s="2" t="str">
        <f>"FES1162772872"</f>
        <v>FES1162772872</v>
      </c>
      <c r="C4075" s="2" t="s">
        <v>2384</v>
      </c>
      <c r="D4075" s="2">
        <v>1</v>
      </c>
      <c r="E4075" s="2" t="str">
        <f>"2170758061"</f>
        <v>2170758061</v>
      </c>
      <c r="F4075" s="2" t="s">
        <v>17</v>
      </c>
      <c r="G4075" s="2" t="s">
        <v>18</v>
      </c>
      <c r="H4075" s="2" t="s">
        <v>36</v>
      </c>
      <c r="I4075" s="2" t="s">
        <v>37</v>
      </c>
      <c r="J4075" s="2" t="s">
        <v>646</v>
      </c>
      <c r="K4075" s="2" t="s">
        <v>2490</v>
      </c>
      <c r="L4075" s="3">
        <v>0.3923611111111111</v>
      </c>
      <c r="M4075" s="2" t="s">
        <v>2547</v>
      </c>
      <c r="N4075" s="2" t="s">
        <v>500</v>
      </c>
      <c r="O4075" s="2"/>
    </row>
    <row r="4076" spans="1:15" x14ac:dyDescent="0.25">
      <c r="A4076" s="2" t="s">
        <v>15</v>
      </c>
      <c r="B4076" s="2" t="str">
        <f>"FES1162772699"</f>
        <v>FES1162772699</v>
      </c>
      <c r="C4076" s="2" t="s">
        <v>2384</v>
      </c>
      <c r="D4076" s="2">
        <v>1</v>
      </c>
      <c r="E4076" s="2" t="str">
        <f>"2170759534"</f>
        <v>2170759534</v>
      </c>
      <c r="F4076" s="2" t="s">
        <v>17</v>
      </c>
      <c r="G4076" s="2" t="s">
        <v>18</v>
      </c>
      <c r="H4076" s="2" t="s">
        <v>18</v>
      </c>
      <c r="I4076" s="2" t="s">
        <v>82</v>
      </c>
      <c r="J4076" s="2" t="s">
        <v>1707</v>
      </c>
      <c r="K4076" s="2" t="s">
        <v>2490</v>
      </c>
      <c r="L4076" s="3">
        <v>0.41666666666666669</v>
      </c>
      <c r="M4076" s="2" t="s">
        <v>1214</v>
      </c>
      <c r="N4076" s="2" t="s">
        <v>500</v>
      </c>
      <c r="O4076" s="2"/>
    </row>
    <row r="4077" spans="1:15" x14ac:dyDescent="0.25">
      <c r="A4077" s="2" t="s">
        <v>15</v>
      </c>
      <c r="B4077" s="2" t="str">
        <f>"FES1162772876"</f>
        <v>FES1162772876</v>
      </c>
      <c r="C4077" s="2" t="s">
        <v>2384</v>
      </c>
      <c r="D4077" s="2">
        <v>1</v>
      </c>
      <c r="E4077" s="2" t="str">
        <f>"2170758067"</f>
        <v>2170758067</v>
      </c>
      <c r="F4077" s="2" t="s">
        <v>17</v>
      </c>
      <c r="G4077" s="2" t="s">
        <v>18</v>
      </c>
      <c r="H4077" s="2" t="s">
        <v>18</v>
      </c>
      <c r="I4077" s="2" t="s">
        <v>46</v>
      </c>
      <c r="J4077" s="2" t="s">
        <v>115</v>
      </c>
      <c r="K4077" s="2" t="s">
        <v>2490</v>
      </c>
      <c r="L4077" s="3">
        <v>0.31944444444444448</v>
      </c>
      <c r="M4077" s="2" t="s">
        <v>354</v>
      </c>
      <c r="N4077" s="2" t="s">
        <v>500</v>
      </c>
      <c r="O4077" s="2"/>
    </row>
    <row r="4078" spans="1:15" x14ac:dyDescent="0.25">
      <c r="A4078" s="2" t="s">
        <v>15</v>
      </c>
      <c r="B4078" s="2" t="str">
        <f>"FES1162772809"</f>
        <v>FES1162772809</v>
      </c>
      <c r="C4078" s="2" t="s">
        <v>2384</v>
      </c>
      <c r="D4078" s="2">
        <v>1</v>
      </c>
      <c r="E4078" s="2" t="str">
        <f>"2170758996"</f>
        <v>2170758996</v>
      </c>
      <c r="F4078" s="2" t="s">
        <v>17</v>
      </c>
      <c r="G4078" s="2" t="s">
        <v>18</v>
      </c>
      <c r="H4078" s="2" t="s">
        <v>25</v>
      </c>
      <c r="I4078" s="2" t="s">
        <v>26</v>
      </c>
      <c r="J4078" s="2" t="s">
        <v>1020</v>
      </c>
      <c r="K4078" s="2" t="s">
        <v>2490</v>
      </c>
      <c r="L4078" s="3">
        <v>0.40833333333333338</v>
      </c>
      <c r="M4078" s="2" t="s">
        <v>1334</v>
      </c>
      <c r="N4078" s="2" t="s">
        <v>500</v>
      </c>
      <c r="O4078" s="2"/>
    </row>
    <row r="4079" spans="1:15" x14ac:dyDescent="0.25">
      <c r="A4079" s="2" t="s">
        <v>15</v>
      </c>
      <c r="B4079" s="2" t="str">
        <f>"FES1162772718"</f>
        <v>FES1162772718</v>
      </c>
      <c r="C4079" s="2" t="s">
        <v>2384</v>
      </c>
      <c r="D4079" s="2">
        <v>1</v>
      </c>
      <c r="E4079" s="2" t="str">
        <f>"2170757579"</f>
        <v>2170757579</v>
      </c>
      <c r="F4079" s="2" t="s">
        <v>17</v>
      </c>
      <c r="G4079" s="2" t="s">
        <v>18</v>
      </c>
      <c r="H4079" s="2" t="s">
        <v>33</v>
      </c>
      <c r="I4079" s="2" t="s">
        <v>34</v>
      </c>
      <c r="J4079" s="2" t="s">
        <v>371</v>
      </c>
      <c r="K4079" s="2" t="s">
        <v>2490</v>
      </c>
      <c r="L4079" s="3">
        <v>0.43333333333333335</v>
      </c>
      <c r="M4079" s="2" t="s">
        <v>2548</v>
      </c>
      <c r="N4079" s="2" t="s">
        <v>500</v>
      </c>
      <c r="O4079" s="2"/>
    </row>
    <row r="4080" spans="1:15" x14ac:dyDescent="0.25">
      <c r="A4080" s="2" t="s">
        <v>15</v>
      </c>
      <c r="B4080" s="2" t="str">
        <f>"FES1162772869"</f>
        <v>FES1162772869</v>
      </c>
      <c r="C4080" s="2" t="s">
        <v>2384</v>
      </c>
      <c r="D4080" s="2">
        <v>1</v>
      </c>
      <c r="E4080" s="2" t="str">
        <f>"2170758010"</f>
        <v>2170758010</v>
      </c>
      <c r="F4080" s="2" t="s">
        <v>17</v>
      </c>
      <c r="G4080" s="2" t="s">
        <v>18</v>
      </c>
      <c r="H4080" s="2" t="s">
        <v>19</v>
      </c>
      <c r="I4080" s="2" t="s">
        <v>269</v>
      </c>
      <c r="J4080" s="2" t="s">
        <v>655</v>
      </c>
      <c r="K4080" s="2" t="s">
        <v>2490</v>
      </c>
      <c r="L4080" s="3">
        <v>0.38263888888888892</v>
      </c>
      <c r="M4080" s="2" t="s">
        <v>2549</v>
      </c>
      <c r="N4080" s="2" t="s">
        <v>500</v>
      </c>
      <c r="O4080" s="2"/>
    </row>
    <row r="4081" spans="1:15" x14ac:dyDescent="0.25">
      <c r="A4081" s="2" t="s">
        <v>15</v>
      </c>
      <c r="B4081" s="2" t="str">
        <f>"FES1162772871"</f>
        <v>FES1162772871</v>
      </c>
      <c r="C4081" s="2" t="s">
        <v>2384</v>
      </c>
      <c r="D4081" s="2">
        <v>1</v>
      </c>
      <c r="E4081" s="2" t="str">
        <f>"2170758044"</f>
        <v>2170758044</v>
      </c>
      <c r="F4081" s="2" t="s">
        <v>17</v>
      </c>
      <c r="G4081" s="2" t="s">
        <v>18</v>
      </c>
      <c r="H4081" s="2" t="s">
        <v>19</v>
      </c>
      <c r="I4081" s="2" t="s">
        <v>20</v>
      </c>
      <c r="J4081" s="2" t="s">
        <v>21</v>
      </c>
      <c r="K4081" s="2" t="s">
        <v>2490</v>
      </c>
      <c r="L4081" s="3">
        <v>0.40138888888888885</v>
      </c>
      <c r="M4081" s="2" t="s">
        <v>682</v>
      </c>
      <c r="N4081" s="2" t="s">
        <v>500</v>
      </c>
      <c r="O4081" s="2"/>
    </row>
    <row r="4082" spans="1:15" x14ac:dyDescent="0.25">
      <c r="A4082" s="2" t="s">
        <v>15</v>
      </c>
      <c r="B4082" s="2" t="str">
        <f>"FES1162772750"</f>
        <v>FES1162772750</v>
      </c>
      <c r="C4082" s="2" t="s">
        <v>2384</v>
      </c>
      <c r="D4082" s="2">
        <v>1</v>
      </c>
      <c r="E4082" s="2" t="str">
        <f>"2170757566"</f>
        <v>2170757566</v>
      </c>
      <c r="F4082" s="2" t="s">
        <v>17</v>
      </c>
      <c r="G4082" s="2" t="s">
        <v>18</v>
      </c>
      <c r="H4082" s="2" t="s">
        <v>18</v>
      </c>
      <c r="I4082" s="2" t="s">
        <v>46</v>
      </c>
      <c r="J4082" s="2" t="s">
        <v>59</v>
      </c>
      <c r="K4082" s="2" t="s">
        <v>2490</v>
      </c>
      <c r="L4082" s="3">
        <v>0.4375</v>
      </c>
      <c r="M4082" s="2" t="s">
        <v>60</v>
      </c>
      <c r="N4082" s="2" t="s">
        <v>500</v>
      </c>
      <c r="O4082" s="2"/>
    </row>
    <row r="4083" spans="1:15" x14ac:dyDescent="0.25">
      <c r="A4083" s="2" t="s">
        <v>15</v>
      </c>
      <c r="B4083" s="2" t="str">
        <f>"FES1162772896"</f>
        <v>FES1162772896</v>
      </c>
      <c r="C4083" s="2" t="s">
        <v>2384</v>
      </c>
      <c r="D4083" s="2">
        <v>1</v>
      </c>
      <c r="E4083" s="2" t="str">
        <f>"2170759649"</f>
        <v>2170759649</v>
      </c>
      <c r="F4083" s="2" t="s">
        <v>17</v>
      </c>
      <c r="G4083" s="2" t="s">
        <v>18</v>
      </c>
      <c r="H4083" s="2" t="s">
        <v>19</v>
      </c>
      <c r="I4083" s="2" t="s">
        <v>20</v>
      </c>
      <c r="J4083" s="2" t="s">
        <v>123</v>
      </c>
      <c r="K4083" s="2" t="s">
        <v>2490</v>
      </c>
      <c r="L4083" s="3">
        <v>0.4597222222222222</v>
      </c>
      <c r="M4083" s="2" t="s">
        <v>233</v>
      </c>
      <c r="N4083" s="2" t="s">
        <v>500</v>
      </c>
      <c r="O4083" s="2"/>
    </row>
    <row r="4084" spans="1:15" x14ac:dyDescent="0.25">
      <c r="A4084" s="2" t="s">
        <v>15</v>
      </c>
      <c r="B4084" s="2" t="str">
        <f>"FES1162772823"</f>
        <v>FES1162772823</v>
      </c>
      <c r="C4084" s="2" t="s">
        <v>2384</v>
      </c>
      <c r="D4084" s="2">
        <v>1</v>
      </c>
      <c r="E4084" s="2" t="str">
        <f>"2170757563"</f>
        <v>2170757563</v>
      </c>
      <c r="F4084" s="2" t="s">
        <v>17</v>
      </c>
      <c r="G4084" s="2" t="s">
        <v>18</v>
      </c>
      <c r="H4084" s="2" t="s">
        <v>18</v>
      </c>
      <c r="I4084" s="2" t="s">
        <v>63</v>
      </c>
      <c r="J4084" s="2" t="s">
        <v>53</v>
      </c>
      <c r="K4084" s="2" t="s">
        <v>2490</v>
      </c>
      <c r="L4084" s="3">
        <v>0.4375</v>
      </c>
      <c r="M4084" s="2" t="s">
        <v>2550</v>
      </c>
      <c r="N4084" s="2" t="s">
        <v>500</v>
      </c>
      <c r="O4084" s="2"/>
    </row>
    <row r="4085" spans="1:15" x14ac:dyDescent="0.25">
      <c r="A4085" s="2" t="s">
        <v>15</v>
      </c>
      <c r="B4085" s="2" t="str">
        <f>"FES1162772756"</f>
        <v>FES1162772756</v>
      </c>
      <c r="C4085" s="2" t="s">
        <v>2384</v>
      </c>
      <c r="D4085" s="2">
        <v>1</v>
      </c>
      <c r="E4085" s="2" t="str">
        <f>"2170757617"</f>
        <v>2170757617</v>
      </c>
      <c r="F4085" s="2" t="s">
        <v>17</v>
      </c>
      <c r="G4085" s="2" t="s">
        <v>18</v>
      </c>
      <c r="H4085" s="2" t="s">
        <v>88</v>
      </c>
      <c r="I4085" s="2" t="s">
        <v>109</v>
      </c>
      <c r="J4085" s="2" t="s">
        <v>779</v>
      </c>
      <c r="K4085" s="2" t="s">
        <v>2490</v>
      </c>
      <c r="L4085" s="3">
        <v>0.375</v>
      </c>
      <c r="M4085" s="2" t="s">
        <v>2161</v>
      </c>
      <c r="N4085" s="2" t="s">
        <v>500</v>
      </c>
      <c r="O4085" s="2"/>
    </row>
    <row r="4086" spans="1:15" x14ac:dyDescent="0.25">
      <c r="A4086" s="2" t="s">
        <v>15</v>
      </c>
      <c r="B4086" s="2" t="str">
        <f>"FES1162772892"</f>
        <v>FES1162772892</v>
      </c>
      <c r="C4086" s="2" t="s">
        <v>2384</v>
      </c>
      <c r="D4086" s="2">
        <v>1</v>
      </c>
      <c r="E4086" s="2" t="str">
        <f>"2170759644"</f>
        <v>2170759644</v>
      </c>
      <c r="F4086" s="2" t="s">
        <v>17</v>
      </c>
      <c r="G4086" s="2" t="s">
        <v>18</v>
      </c>
      <c r="H4086" s="2" t="s">
        <v>18</v>
      </c>
      <c r="I4086" s="2" t="s">
        <v>46</v>
      </c>
      <c r="J4086" s="2" t="s">
        <v>115</v>
      </c>
      <c r="K4086" s="2" t="s">
        <v>2490</v>
      </c>
      <c r="L4086" s="3">
        <v>0.31944444444444448</v>
      </c>
      <c r="M4086" s="2" t="s">
        <v>354</v>
      </c>
      <c r="N4086" s="2" t="s">
        <v>500</v>
      </c>
      <c r="O4086" s="2"/>
    </row>
    <row r="4087" spans="1:15" x14ac:dyDescent="0.25">
      <c r="A4087" s="2" t="s">
        <v>15</v>
      </c>
      <c r="B4087" s="2" t="str">
        <f>"FES1162772868"</f>
        <v>FES1162772868</v>
      </c>
      <c r="C4087" s="2" t="s">
        <v>2384</v>
      </c>
      <c r="D4087" s="2">
        <v>1</v>
      </c>
      <c r="E4087" s="2" t="str">
        <f>"2170758006"</f>
        <v>2170758006</v>
      </c>
      <c r="F4087" s="2" t="s">
        <v>17</v>
      </c>
      <c r="G4087" s="2" t="s">
        <v>18</v>
      </c>
      <c r="H4087" s="2" t="s">
        <v>25</v>
      </c>
      <c r="I4087" s="2" t="s">
        <v>26</v>
      </c>
      <c r="J4087" s="2" t="s">
        <v>763</v>
      </c>
      <c r="K4087" s="2" t="s">
        <v>2490</v>
      </c>
      <c r="L4087" s="3">
        <v>0.33263888888888887</v>
      </c>
      <c r="M4087" s="2" t="s">
        <v>820</v>
      </c>
      <c r="N4087" s="2" t="s">
        <v>500</v>
      </c>
      <c r="O4087" s="2"/>
    </row>
    <row r="4088" spans="1:15" x14ac:dyDescent="0.25">
      <c r="A4088" s="2" t="s">
        <v>15</v>
      </c>
      <c r="B4088" s="2" t="str">
        <f>"FES1162772706"</f>
        <v>FES1162772706</v>
      </c>
      <c r="C4088" s="2" t="s">
        <v>2384</v>
      </c>
      <c r="D4088" s="2">
        <v>1</v>
      </c>
      <c r="E4088" s="2" t="str">
        <f>"2170756064"</f>
        <v>2170756064</v>
      </c>
      <c r="F4088" s="2" t="s">
        <v>17</v>
      </c>
      <c r="G4088" s="2" t="s">
        <v>18</v>
      </c>
      <c r="H4088" s="2" t="s">
        <v>19</v>
      </c>
      <c r="I4088" s="2" t="s">
        <v>111</v>
      </c>
      <c r="J4088" s="2" t="s">
        <v>405</v>
      </c>
      <c r="K4088" s="2" t="s">
        <v>2490</v>
      </c>
      <c r="L4088" s="3">
        <v>0.4145833333333333</v>
      </c>
      <c r="M4088" s="2" t="s">
        <v>2284</v>
      </c>
      <c r="N4088" s="2" t="s">
        <v>500</v>
      </c>
      <c r="O4088" s="2"/>
    </row>
    <row r="4089" spans="1:15" x14ac:dyDescent="0.25">
      <c r="A4089" s="2" t="s">
        <v>15</v>
      </c>
      <c r="B4089" s="2" t="str">
        <f>"FES1162772852"</f>
        <v>FES1162772852</v>
      </c>
      <c r="C4089" s="2" t="s">
        <v>2384</v>
      </c>
      <c r="D4089" s="2">
        <v>1</v>
      </c>
      <c r="E4089" s="2" t="str">
        <f>"2170757835"</f>
        <v>2170757835</v>
      </c>
      <c r="F4089" s="2" t="s">
        <v>17</v>
      </c>
      <c r="G4089" s="2" t="s">
        <v>18</v>
      </c>
      <c r="H4089" s="2" t="s">
        <v>25</v>
      </c>
      <c r="I4089" s="2" t="s">
        <v>42</v>
      </c>
      <c r="J4089" s="2" t="s">
        <v>2496</v>
      </c>
      <c r="K4089" s="2" t="s">
        <v>2490</v>
      </c>
      <c r="L4089" s="3">
        <v>0.52152777777777781</v>
      </c>
      <c r="M4089" s="2" t="s">
        <v>2526</v>
      </c>
      <c r="N4089" s="2" t="s">
        <v>500</v>
      </c>
      <c r="O4089" s="2"/>
    </row>
    <row r="4090" spans="1:15" x14ac:dyDescent="0.25">
      <c r="A4090" s="2" t="s">
        <v>15</v>
      </c>
      <c r="B4090" s="2" t="str">
        <f>"FES1162772813"</f>
        <v>FES1162772813</v>
      </c>
      <c r="C4090" s="2" t="s">
        <v>2384</v>
      </c>
      <c r="D4090" s="2">
        <v>1</v>
      </c>
      <c r="E4090" s="2" t="str">
        <f>"2170756953"</f>
        <v>2170756953</v>
      </c>
      <c r="F4090" s="2" t="s">
        <v>17</v>
      </c>
      <c r="G4090" s="2" t="s">
        <v>18</v>
      </c>
      <c r="H4090" s="2" t="s">
        <v>19</v>
      </c>
      <c r="I4090" s="2" t="s">
        <v>73</v>
      </c>
      <c r="J4090" s="2" t="s">
        <v>2504</v>
      </c>
      <c r="K4090" s="2" t="s">
        <v>2490</v>
      </c>
      <c r="L4090" s="3">
        <v>0.34722222222222227</v>
      </c>
      <c r="M4090" s="2" t="s">
        <v>2505</v>
      </c>
      <c r="N4090" s="2" t="s">
        <v>500</v>
      </c>
      <c r="O4090" s="2"/>
    </row>
    <row r="4091" spans="1:15" x14ac:dyDescent="0.25">
      <c r="A4091" s="2" t="s">
        <v>15</v>
      </c>
      <c r="B4091" s="2" t="str">
        <f>"FES1162772680"</f>
        <v>FES1162772680</v>
      </c>
      <c r="C4091" s="2" t="s">
        <v>2384</v>
      </c>
      <c r="D4091" s="2">
        <v>1</v>
      </c>
      <c r="E4091" s="2" t="str">
        <f>"2170759565"</f>
        <v>2170759565</v>
      </c>
      <c r="F4091" s="2" t="s">
        <v>17</v>
      </c>
      <c r="G4091" s="2" t="s">
        <v>18</v>
      </c>
      <c r="H4091" s="2" t="s">
        <v>19</v>
      </c>
      <c r="I4091" s="2" t="s">
        <v>20</v>
      </c>
      <c r="J4091" s="2" t="s">
        <v>327</v>
      </c>
      <c r="K4091" s="2" t="s">
        <v>2490</v>
      </c>
      <c r="L4091" s="3">
        <v>0.35833333333333334</v>
      </c>
      <c r="M4091" s="2" t="s">
        <v>529</v>
      </c>
      <c r="N4091" s="2" t="s">
        <v>500</v>
      </c>
      <c r="O4091" s="2"/>
    </row>
    <row r="4092" spans="1:15" x14ac:dyDescent="0.25">
      <c r="A4092" s="2" t="s">
        <v>15</v>
      </c>
      <c r="B4092" s="2" t="str">
        <f>"FES1162772782"</f>
        <v>FES1162772782</v>
      </c>
      <c r="C4092" s="2" t="s">
        <v>2384</v>
      </c>
      <c r="D4092" s="2">
        <v>1</v>
      </c>
      <c r="E4092" s="2" t="str">
        <f>"2170757899"</f>
        <v>2170757899</v>
      </c>
      <c r="F4092" s="2" t="s">
        <v>17</v>
      </c>
      <c r="G4092" s="2" t="s">
        <v>18</v>
      </c>
      <c r="H4092" s="2" t="s">
        <v>19</v>
      </c>
      <c r="I4092" s="2" t="s">
        <v>111</v>
      </c>
      <c r="J4092" s="2" t="s">
        <v>629</v>
      </c>
      <c r="K4092" s="2" t="s">
        <v>2490</v>
      </c>
      <c r="L4092" s="3">
        <v>0.39583333333333331</v>
      </c>
      <c r="M4092" s="2" t="s">
        <v>2551</v>
      </c>
      <c r="N4092" s="2" t="s">
        <v>500</v>
      </c>
      <c r="O4092" s="2"/>
    </row>
    <row r="4093" spans="1:15" x14ac:dyDescent="0.25">
      <c r="A4093" s="2" t="s">
        <v>15</v>
      </c>
      <c r="B4093" s="2" t="str">
        <f>"FES1162772847"</f>
        <v>FES1162772847</v>
      </c>
      <c r="C4093" s="2" t="s">
        <v>2384</v>
      </c>
      <c r="D4093" s="2">
        <v>1</v>
      </c>
      <c r="E4093" s="2" t="str">
        <f>"2170757794"</f>
        <v>2170757794</v>
      </c>
      <c r="F4093" s="2" t="s">
        <v>17</v>
      </c>
      <c r="G4093" s="2" t="s">
        <v>18</v>
      </c>
      <c r="H4093" s="2" t="s">
        <v>18</v>
      </c>
      <c r="I4093" s="2" t="s">
        <v>46</v>
      </c>
      <c r="J4093" s="2" t="s">
        <v>139</v>
      </c>
      <c r="K4093" s="2" t="s">
        <v>2490</v>
      </c>
      <c r="L4093" s="3">
        <v>0.375</v>
      </c>
      <c r="M4093" s="2" t="s">
        <v>1731</v>
      </c>
      <c r="N4093" s="2" t="s">
        <v>500</v>
      </c>
      <c r="O4093" s="2"/>
    </row>
    <row r="4094" spans="1:15" x14ac:dyDescent="0.25">
      <c r="A4094" s="2" t="s">
        <v>15</v>
      </c>
      <c r="B4094" s="2" t="str">
        <f>"FES1162772893"</f>
        <v>FES1162772893</v>
      </c>
      <c r="C4094" s="2" t="s">
        <v>2384</v>
      </c>
      <c r="D4094" s="2">
        <v>1</v>
      </c>
      <c r="E4094" s="2" t="str">
        <f>"2170759645"</f>
        <v>2170759645</v>
      </c>
      <c r="F4094" s="2" t="s">
        <v>17</v>
      </c>
      <c r="G4094" s="2" t="s">
        <v>18</v>
      </c>
      <c r="H4094" s="2" t="s">
        <v>18</v>
      </c>
      <c r="I4094" s="2" t="s">
        <v>290</v>
      </c>
      <c r="J4094" s="2" t="s">
        <v>420</v>
      </c>
      <c r="K4094" s="2" t="s">
        <v>2490</v>
      </c>
      <c r="L4094" s="3">
        <v>0.33333333333333331</v>
      </c>
      <c r="M4094" s="2" t="s">
        <v>959</v>
      </c>
      <c r="N4094" s="2" t="s">
        <v>500</v>
      </c>
      <c r="O4094" s="2"/>
    </row>
    <row r="4095" spans="1:15" x14ac:dyDescent="0.25">
      <c r="A4095" s="2" t="s">
        <v>15</v>
      </c>
      <c r="B4095" s="2" t="str">
        <f>"FES1162772789"</f>
        <v>FES1162772789</v>
      </c>
      <c r="C4095" s="2" t="s">
        <v>2384</v>
      </c>
      <c r="D4095" s="2">
        <v>1</v>
      </c>
      <c r="E4095" s="2" t="str">
        <f>"2170757970"</f>
        <v>2170757970</v>
      </c>
      <c r="F4095" s="2" t="s">
        <v>17</v>
      </c>
      <c r="G4095" s="2" t="s">
        <v>18</v>
      </c>
      <c r="H4095" s="2" t="s">
        <v>18</v>
      </c>
      <c r="I4095" s="2" t="s">
        <v>46</v>
      </c>
      <c r="J4095" s="2" t="s">
        <v>59</v>
      </c>
      <c r="K4095" s="2" t="s">
        <v>2490</v>
      </c>
      <c r="L4095" s="3">
        <v>0.4375</v>
      </c>
      <c r="M4095" s="2" t="s">
        <v>60</v>
      </c>
      <c r="N4095" s="2" t="s">
        <v>500</v>
      </c>
      <c r="O4095" s="2"/>
    </row>
    <row r="4096" spans="1:15" x14ac:dyDescent="0.25">
      <c r="A4096" s="2" t="s">
        <v>15</v>
      </c>
      <c r="B4096" s="2" t="str">
        <f>"FES1162772743"</f>
        <v>FES1162772743</v>
      </c>
      <c r="C4096" s="2" t="s">
        <v>2384</v>
      </c>
      <c r="D4096" s="2">
        <v>1</v>
      </c>
      <c r="E4096" s="2" t="str">
        <f>"2170755625"</f>
        <v>2170755625</v>
      </c>
      <c r="F4096" s="2" t="s">
        <v>17</v>
      </c>
      <c r="G4096" s="2" t="s">
        <v>18</v>
      </c>
      <c r="H4096" s="2" t="s">
        <v>88</v>
      </c>
      <c r="I4096" s="2" t="s">
        <v>109</v>
      </c>
      <c r="J4096" s="2" t="s">
        <v>780</v>
      </c>
      <c r="K4096" s="2" t="s">
        <v>2490</v>
      </c>
      <c r="L4096" s="3">
        <v>0.54166666666666663</v>
      </c>
      <c r="M4096" s="2" t="s">
        <v>2552</v>
      </c>
      <c r="N4096" s="2" t="s">
        <v>500</v>
      </c>
      <c r="O4096" s="2"/>
    </row>
    <row r="4097" spans="1:15" x14ac:dyDescent="0.25">
      <c r="A4097" s="2" t="s">
        <v>15</v>
      </c>
      <c r="B4097" s="2" t="str">
        <f>"FES1162772810"</f>
        <v>FES1162772810</v>
      </c>
      <c r="C4097" s="2" t="s">
        <v>2384</v>
      </c>
      <c r="D4097" s="2">
        <v>1</v>
      </c>
      <c r="E4097" s="2" t="str">
        <f>"2170759202"</f>
        <v>2170759202</v>
      </c>
      <c r="F4097" s="2" t="s">
        <v>17</v>
      </c>
      <c r="G4097" s="2" t="s">
        <v>18</v>
      </c>
      <c r="H4097" s="2" t="s">
        <v>19</v>
      </c>
      <c r="I4097" s="2" t="s">
        <v>20</v>
      </c>
      <c r="J4097" s="2" t="s">
        <v>77</v>
      </c>
      <c r="K4097" s="2" t="s">
        <v>2490</v>
      </c>
      <c r="L4097" s="3">
        <v>0.3923611111111111</v>
      </c>
      <c r="M4097" s="2" t="s">
        <v>1764</v>
      </c>
      <c r="N4097" s="2" t="s">
        <v>500</v>
      </c>
      <c r="O4097" s="2"/>
    </row>
    <row r="4098" spans="1:15" x14ac:dyDescent="0.25">
      <c r="A4098" s="21" t="s">
        <v>15</v>
      </c>
      <c r="B4098" s="21" t="str">
        <f>"FES1162772701"</f>
        <v>FES1162772701</v>
      </c>
      <c r="C4098" s="21" t="s">
        <v>2384</v>
      </c>
      <c r="D4098" s="21">
        <v>1</v>
      </c>
      <c r="E4098" s="21" t="str">
        <f>"2170759590"</f>
        <v>2170759590</v>
      </c>
      <c r="F4098" s="21" t="s">
        <v>17</v>
      </c>
      <c r="G4098" s="21" t="s">
        <v>18</v>
      </c>
      <c r="H4098" s="21" t="s">
        <v>18</v>
      </c>
      <c r="I4098" s="21" t="s">
        <v>97</v>
      </c>
      <c r="J4098" s="21" t="s">
        <v>2506</v>
      </c>
      <c r="K4098" s="21" t="s">
        <v>2520</v>
      </c>
      <c r="L4098" s="21"/>
      <c r="M4098" s="21" t="s">
        <v>23</v>
      </c>
      <c r="N4098" s="21" t="s">
        <v>24</v>
      </c>
      <c r="O4098" s="21"/>
    </row>
    <row r="4099" spans="1:15" x14ac:dyDescent="0.25">
      <c r="A4099" s="2" t="s">
        <v>15</v>
      </c>
      <c r="B4099" s="2" t="str">
        <f>"FES1162772811"</f>
        <v>FES1162772811</v>
      </c>
      <c r="C4099" s="2" t="s">
        <v>2384</v>
      </c>
      <c r="D4099" s="2">
        <v>1</v>
      </c>
      <c r="E4099" s="2" t="str">
        <f>"2170759610"</f>
        <v>2170759610</v>
      </c>
      <c r="F4099" s="2" t="s">
        <v>17</v>
      </c>
      <c r="G4099" s="2" t="s">
        <v>18</v>
      </c>
      <c r="H4099" s="2" t="s">
        <v>25</v>
      </c>
      <c r="I4099" s="2" t="s">
        <v>26</v>
      </c>
      <c r="J4099" s="2" t="s">
        <v>1118</v>
      </c>
      <c r="K4099" s="2" t="s">
        <v>2490</v>
      </c>
      <c r="L4099" s="3">
        <v>0.39027777777777778</v>
      </c>
      <c r="M4099" s="2" t="s">
        <v>2553</v>
      </c>
      <c r="N4099" s="2" t="s">
        <v>500</v>
      </c>
      <c r="O4099" s="2"/>
    </row>
    <row r="4100" spans="1:15" x14ac:dyDescent="0.25">
      <c r="A4100" s="2" t="s">
        <v>15</v>
      </c>
      <c r="B4100" s="2" t="str">
        <f>"FES1162772829"</f>
        <v>FES1162772829</v>
      </c>
      <c r="C4100" s="2" t="s">
        <v>2384</v>
      </c>
      <c r="D4100" s="2">
        <v>1</v>
      </c>
      <c r="E4100" s="2" t="str">
        <f>"2170757635"</f>
        <v>2170757635</v>
      </c>
      <c r="F4100" s="2" t="s">
        <v>17</v>
      </c>
      <c r="G4100" s="2" t="s">
        <v>18</v>
      </c>
      <c r="H4100" s="2" t="s">
        <v>25</v>
      </c>
      <c r="I4100" s="2" t="s">
        <v>26</v>
      </c>
      <c r="J4100" s="2" t="s">
        <v>27</v>
      </c>
      <c r="K4100" s="2" t="s">
        <v>2490</v>
      </c>
      <c r="L4100" s="3">
        <v>0.3576388888888889</v>
      </c>
      <c r="M4100" s="2" t="s">
        <v>521</v>
      </c>
      <c r="N4100" s="2" t="s">
        <v>500</v>
      </c>
      <c r="O4100" s="2"/>
    </row>
    <row r="4101" spans="1:15" x14ac:dyDescent="0.25">
      <c r="A4101" s="2" t="s">
        <v>15</v>
      </c>
      <c r="B4101" s="2" t="str">
        <f>"FES1162772772"</f>
        <v>FES1162772772</v>
      </c>
      <c r="C4101" s="2" t="s">
        <v>2384</v>
      </c>
      <c r="D4101" s="2">
        <v>1</v>
      </c>
      <c r="E4101" s="2" t="str">
        <f>"2170757812"</f>
        <v>2170757812</v>
      </c>
      <c r="F4101" s="2" t="s">
        <v>17</v>
      </c>
      <c r="G4101" s="2" t="s">
        <v>18</v>
      </c>
      <c r="H4101" s="2" t="s">
        <v>18</v>
      </c>
      <c r="I4101" s="2" t="s">
        <v>46</v>
      </c>
      <c r="J4101" s="2" t="s">
        <v>2364</v>
      </c>
      <c r="K4101" s="2" t="s">
        <v>2490</v>
      </c>
      <c r="L4101" s="3">
        <v>0.41666666666666669</v>
      </c>
      <c r="M4101" s="2" t="s">
        <v>2554</v>
      </c>
      <c r="N4101" s="2" t="s">
        <v>500</v>
      </c>
      <c r="O4101" s="2"/>
    </row>
    <row r="4102" spans="1:15" x14ac:dyDescent="0.25">
      <c r="A4102" s="2" t="s">
        <v>15</v>
      </c>
      <c r="B4102" s="2" t="str">
        <f>"FES1162772816"</f>
        <v>FES1162772816</v>
      </c>
      <c r="C4102" s="2" t="s">
        <v>2384</v>
      </c>
      <c r="D4102" s="2">
        <v>1</v>
      </c>
      <c r="E4102" s="2" t="str">
        <f>"2170755592"</f>
        <v>2170755592</v>
      </c>
      <c r="F4102" s="2" t="s">
        <v>17</v>
      </c>
      <c r="G4102" s="2" t="s">
        <v>18</v>
      </c>
      <c r="H4102" s="2" t="s">
        <v>18</v>
      </c>
      <c r="I4102" s="2" t="s">
        <v>50</v>
      </c>
      <c r="J4102" s="2" t="s">
        <v>285</v>
      </c>
      <c r="K4102" s="2" t="s">
        <v>2490</v>
      </c>
      <c r="L4102" s="3">
        <v>0.4375</v>
      </c>
      <c r="M4102" s="2" t="s">
        <v>1584</v>
      </c>
      <c r="N4102" s="2" t="s">
        <v>500</v>
      </c>
      <c r="O4102" s="2"/>
    </row>
    <row r="4103" spans="1:15" x14ac:dyDescent="0.25">
      <c r="A4103" s="2" t="s">
        <v>15</v>
      </c>
      <c r="B4103" s="2" t="str">
        <f>"FES1162772747"</f>
        <v>FES1162772747</v>
      </c>
      <c r="C4103" s="2" t="s">
        <v>2384</v>
      </c>
      <c r="D4103" s="2">
        <v>1</v>
      </c>
      <c r="E4103" s="2" t="str">
        <f>"2170756620"</f>
        <v>2170756620</v>
      </c>
      <c r="F4103" s="2" t="s">
        <v>17</v>
      </c>
      <c r="G4103" s="2" t="s">
        <v>18</v>
      </c>
      <c r="H4103" s="2" t="s">
        <v>88</v>
      </c>
      <c r="I4103" s="2" t="s">
        <v>109</v>
      </c>
      <c r="J4103" s="2" t="s">
        <v>780</v>
      </c>
      <c r="K4103" s="2" t="s">
        <v>2490</v>
      </c>
      <c r="L4103" s="3">
        <v>0.54166666666666663</v>
      </c>
      <c r="M4103" s="2" t="s">
        <v>2552</v>
      </c>
      <c r="N4103" s="2" t="s">
        <v>500</v>
      </c>
      <c r="O4103" s="2"/>
    </row>
    <row r="4104" spans="1:15" x14ac:dyDescent="0.25">
      <c r="A4104" s="2" t="s">
        <v>15</v>
      </c>
      <c r="B4104" s="2" t="str">
        <f>"FES1162772776"</f>
        <v>FES1162772776</v>
      </c>
      <c r="C4104" s="2" t="s">
        <v>2384</v>
      </c>
      <c r="D4104" s="2">
        <v>1</v>
      </c>
      <c r="E4104" s="2" t="str">
        <f>"2170757835"</f>
        <v>2170757835</v>
      </c>
      <c r="F4104" s="2" t="s">
        <v>17</v>
      </c>
      <c r="G4104" s="2" t="s">
        <v>18</v>
      </c>
      <c r="H4104" s="2" t="s">
        <v>25</v>
      </c>
      <c r="I4104" s="2" t="s">
        <v>42</v>
      </c>
      <c r="J4104" s="2" t="s">
        <v>2496</v>
      </c>
      <c r="K4104" s="2" t="s">
        <v>2490</v>
      </c>
      <c r="L4104" s="3">
        <v>0.52152777777777781</v>
      </c>
      <c r="M4104" s="2" t="s">
        <v>2526</v>
      </c>
      <c r="N4104" s="2" t="s">
        <v>500</v>
      </c>
      <c r="O4104" s="2"/>
    </row>
    <row r="4105" spans="1:15" x14ac:dyDescent="0.25">
      <c r="A4105" s="2" t="s">
        <v>15</v>
      </c>
      <c r="B4105" s="2" t="str">
        <f>"FES1162772825"</f>
        <v>FES1162772825</v>
      </c>
      <c r="C4105" s="2" t="s">
        <v>2384</v>
      </c>
      <c r="D4105" s="2">
        <v>1</v>
      </c>
      <c r="E4105" s="2" t="str">
        <f>"2170757601"</f>
        <v>2170757601</v>
      </c>
      <c r="F4105" s="2" t="s">
        <v>17</v>
      </c>
      <c r="G4105" s="2" t="s">
        <v>18</v>
      </c>
      <c r="H4105" s="2" t="s">
        <v>25</v>
      </c>
      <c r="I4105" s="2" t="s">
        <v>26</v>
      </c>
      <c r="J4105" s="2" t="s">
        <v>75</v>
      </c>
      <c r="K4105" s="2" t="s">
        <v>2490</v>
      </c>
      <c r="L4105" s="3">
        <v>0.33263888888888887</v>
      </c>
      <c r="M4105" s="2" t="s">
        <v>1329</v>
      </c>
      <c r="N4105" s="2" t="s">
        <v>500</v>
      </c>
      <c r="O4105" s="2"/>
    </row>
    <row r="4106" spans="1:15" x14ac:dyDescent="0.25">
      <c r="A4106" s="2" t="s">
        <v>15</v>
      </c>
      <c r="B4106" s="2" t="str">
        <f>"FES1162772797"</f>
        <v>FES1162772797</v>
      </c>
      <c r="C4106" s="2" t="s">
        <v>2384</v>
      </c>
      <c r="D4106" s="2">
        <v>1</v>
      </c>
      <c r="E4106" s="2" t="str">
        <f>"2170758050"</f>
        <v>2170758050</v>
      </c>
      <c r="F4106" s="2" t="s">
        <v>17</v>
      </c>
      <c r="G4106" s="2" t="s">
        <v>18</v>
      </c>
      <c r="H4106" s="2" t="s">
        <v>25</v>
      </c>
      <c r="I4106" s="2" t="s">
        <v>26</v>
      </c>
      <c r="J4106" s="2" t="s">
        <v>75</v>
      </c>
      <c r="K4106" s="2" t="s">
        <v>2490</v>
      </c>
      <c r="L4106" s="3">
        <v>0.33194444444444443</v>
      </c>
      <c r="M4106" s="2" t="s">
        <v>1329</v>
      </c>
      <c r="N4106" s="2" t="s">
        <v>500</v>
      </c>
      <c r="O4106" s="2"/>
    </row>
    <row r="4107" spans="1:15" x14ac:dyDescent="0.25">
      <c r="A4107" s="2" t="s">
        <v>15</v>
      </c>
      <c r="B4107" s="2" t="str">
        <f>"FES1162772740"</f>
        <v>FES1162772740</v>
      </c>
      <c r="C4107" s="2" t="s">
        <v>2384</v>
      </c>
      <c r="D4107" s="2">
        <v>1</v>
      </c>
      <c r="E4107" s="2" t="str">
        <f>"2170751733"</f>
        <v>2170751733</v>
      </c>
      <c r="F4107" s="2" t="s">
        <v>17</v>
      </c>
      <c r="G4107" s="2" t="s">
        <v>18</v>
      </c>
      <c r="H4107" s="2" t="s">
        <v>36</v>
      </c>
      <c r="I4107" s="2" t="s">
        <v>37</v>
      </c>
      <c r="J4107" s="2" t="s">
        <v>1117</v>
      </c>
      <c r="K4107" s="2" t="s">
        <v>2490</v>
      </c>
      <c r="L4107" s="3">
        <v>0.53194444444444444</v>
      </c>
      <c r="M4107" s="2" t="s">
        <v>1160</v>
      </c>
      <c r="N4107" s="2" t="s">
        <v>500</v>
      </c>
      <c r="O4107" s="2"/>
    </row>
    <row r="4108" spans="1:15" x14ac:dyDescent="0.25">
      <c r="A4108" s="2" t="s">
        <v>15</v>
      </c>
      <c r="B4108" s="2" t="str">
        <f>"FES1162772883"</f>
        <v>FES1162772883</v>
      </c>
      <c r="C4108" s="2" t="s">
        <v>2384</v>
      </c>
      <c r="D4108" s="2">
        <v>1</v>
      </c>
      <c r="E4108" s="2" t="str">
        <f>"2170758173"</f>
        <v>2170758173</v>
      </c>
      <c r="F4108" s="2" t="s">
        <v>17</v>
      </c>
      <c r="G4108" s="2" t="s">
        <v>18</v>
      </c>
      <c r="H4108" s="2" t="s">
        <v>36</v>
      </c>
      <c r="I4108" s="2" t="s">
        <v>37</v>
      </c>
      <c r="J4108" s="2" t="s">
        <v>102</v>
      </c>
      <c r="K4108" s="2" t="s">
        <v>2490</v>
      </c>
      <c r="L4108" s="3">
        <v>0.41666666666666669</v>
      </c>
      <c r="M4108" s="2" t="s">
        <v>1690</v>
      </c>
      <c r="N4108" s="2" t="s">
        <v>500</v>
      </c>
      <c r="O4108" s="2"/>
    </row>
    <row r="4109" spans="1:15" x14ac:dyDescent="0.25">
      <c r="A4109" s="2" t="s">
        <v>15</v>
      </c>
      <c r="B4109" s="2" t="str">
        <f>"FES1162772834"</f>
        <v>FES1162772834</v>
      </c>
      <c r="C4109" s="2" t="s">
        <v>2384</v>
      </c>
      <c r="D4109" s="2">
        <v>1</v>
      </c>
      <c r="E4109" s="2" t="str">
        <f>"2170757674"</f>
        <v>2170757674</v>
      </c>
      <c r="F4109" s="2" t="s">
        <v>17</v>
      </c>
      <c r="G4109" s="2" t="s">
        <v>18</v>
      </c>
      <c r="H4109" s="2" t="s">
        <v>36</v>
      </c>
      <c r="I4109" s="2" t="s">
        <v>37</v>
      </c>
      <c r="J4109" s="2" t="s">
        <v>102</v>
      </c>
      <c r="K4109" s="2" t="s">
        <v>2490</v>
      </c>
      <c r="L4109" s="3">
        <v>0.41666666666666669</v>
      </c>
      <c r="M4109" s="2" t="s">
        <v>1690</v>
      </c>
      <c r="N4109" s="2" t="s">
        <v>500</v>
      </c>
      <c r="O4109" s="2"/>
    </row>
    <row r="4110" spans="1:15" x14ac:dyDescent="0.25">
      <c r="A4110" s="2" t="s">
        <v>15</v>
      </c>
      <c r="B4110" s="2" t="str">
        <f>"FES1162772856"</f>
        <v>FES1162772856</v>
      </c>
      <c r="C4110" s="2" t="s">
        <v>2384</v>
      </c>
      <c r="D4110" s="2">
        <v>1</v>
      </c>
      <c r="E4110" s="2" t="str">
        <f>"2170757865"</f>
        <v>2170757865</v>
      </c>
      <c r="F4110" s="2" t="s">
        <v>17</v>
      </c>
      <c r="G4110" s="2" t="s">
        <v>18</v>
      </c>
      <c r="H4110" s="2" t="s">
        <v>18</v>
      </c>
      <c r="I4110" s="2" t="s">
        <v>46</v>
      </c>
      <c r="J4110" s="2" t="s">
        <v>880</v>
      </c>
      <c r="K4110" s="2" t="s">
        <v>2490</v>
      </c>
      <c r="L4110" s="3">
        <v>0.36458333333333331</v>
      </c>
      <c r="M4110" s="2" t="s">
        <v>2555</v>
      </c>
      <c r="N4110" s="2" t="s">
        <v>500</v>
      </c>
      <c r="O4110" s="2"/>
    </row>
    <row r="4111" spans="1:15" x14ac:dyDescent="0.25">
      <c r="A4111" s="22" t="s">
        <v>15</v>
      </c>
      <c r="B4111" s="22" t="str">
        <f>"FES1162772807"</f>
        <v>FES1162772807</v>
      </c>
      <c r="C4111" s="22" t="s">
        <v>2384</v>
      </c>
      <c r="D4111" s="22">
        <v>1</v>
      </c>
      <c r="E4111" s="22" t="str">
        <f>"2170758520"</f>
        <v>2170758520</v>
      </c>
      <c r="F4111" s="22" t="s">
        <v>17</v>
      </c>
      <c r="G4111" s="22" t="s">
        <v>18</v>
      </c>
      <c r="H4111" s="22" t="s">
        <v>25</v>
      </c>
      <c r="I4111" s="22" t="s">
        <v>26</v>
      </c>
      <c r="J4111" s="22" t="s">
        <v>474</v>
      </c>
      <c r="K4111" s="22" t="s">
        <v>2490</v>
      </c>
      <c r="L4111" s="22"/>
      <c r="M4111" s="22" t="s">
        <v>23</v>
      </c>
      <c r="N4111" s="22" t="s">
        <v>175</v>
      </c>
      <c r="O4111" s="22"/>
    </row>
    <row r="4112" spans="1:15" x14ac:dyDescent="0.25">
      <c r="A4112" s="2" t="s">
        <v>15</v>
      </c>
      <c r="B4112" s="2" t="str">
        <f>"FES1162772887"</f>
        <v>FES1162772887</v>
      </c>
      <c r="C4112" s="2" t="s">
        <v>2384</v>
      </c>
      <c r="D4112" s="2">
        <v>1</v>
      </c>
      <c r="E4112" s="2" t="str">
        <f>"2170759188"</f>
        <v>2170759188</v>
      </c>
      <c r="F4112" s="2" t="s">
        <v>17</v>
      </c>
      <c r="G4112" s="2" t="s">
        <v>18</v>
      </c>
      <c r="H4112" s="2" t="s">
        <v>25</v>
      </c>
      <c r="I4112" s="2" t="s">
        <v>39</v>
      </c>
      <c r="J4112" s="2" t="s">
        <v>40</v>
      </c>
      <c r="K4112" s="2" t="s">
        <v>2490</v>
      </c>
      <c r="L4112" s="3">
        <v>0.41666666666666669</v>
      </c>
      <c r="M4112" s="2" t="s">
        <v>326</v>
      </c>
      <c r="N4112" s="2" t="s">
        <v>500</v>
      </c>
      <c r="O4112" s="2"/>
    </row>
    <row r="4113" spans="1:15" x14ac:dyDescent="0.25">
      <c r="A4113" s="2" t="s">
        <v>15</v>
      </c>
      <c r="B4113" s="2" t="str">
        <f>"FES1162772760"</f>
        <v>FES1162772760</v>
      </c>
      <c r="C4113" s="2" t="s">
        <v>2384</v>
      </c>
      <c r="D4113" s="2">
        <v>1</v>
      </c>
      <c r="E4113" s="2" t="str">
        <f>"2170757670"</f>
        <v>2170757670</v>
      </c>
      <c r="F4113" s="2" t="s">
        <v>17</v>
      </c>
      <c r="G4113" s="2" t="s">
        <v>18</v>
      </c>
      <c r="H4113" s="2" t="s">
        <v>36</v>
      </c>
      <c r="I4113" s="2" t="s">
        <v>67</v>
      </c>
      <c r="J4113" s="2" t="s">
        <v>312</v>
      </c>
      <c r="K4113" s="2" t="s">
        <v>2490</v>
      </c>
      <c r="L4113" s="3">
        <v>0.4236111111111111</v>
      </c>
      <c r="M4113" s="2" t="s">
        <v>243</v>
      </c>
      <c r="N4113" s="2" t="s">
        <v>500</v>
      </c>
      <c r="O4113" s="2"/>
    </row>
    <row r="4114" spans="1:15" x14ac:dyDescent="0.25">
      <c r="A4114" s="2" t="s">
        <v>15</v>
      </c>
      <c r="B4114" s="2" t="str">
        <f>"FES1162772777"</f>
        <v>FES1162772777</v>
      </c>
      <c r="C4114" s="2" t="s">
        <v>2384</v>
      </c>
      <c r="D4114" s="2">
        <v>1</v>
      </c>
      <c r="E4114" s="2" t="str">
        <f>"2170757843"</f>
        <v>2170757843</v>
      </c>
      <c r="F4114" s="2" t="s">
        <v>17</v>
      </c>
      <c r="G4114" s="2" t="s">
        <v>18</v>
      </c>
      <c r="H4114" s="2" t="s">
        <v>25</v>
      </c>
      <c r="I4114" s="2" t="s">
        <v>26</v>
      </c>
      <c r="J4114" s="2" t="s">
        <v>70</v>
      </c>
      <c r="K4114" s="2" t="s">
        <v>2490</v>
      </c>
      <c r="L4114" s="3">
        <v>0.51388888888888895</v>
      </c>
      <c r="M4114" s="2" t="s">
        <v>1485</v>
      </c>
      <c r="N4114" s="2" t="s">
        <v>500</v>
      </c>
      <c r="O4114" s="2"/>
    </row>
    <row r="4115" spans="1:15" x14ac:dyDescent="0.25">
      <c r="A4115" s="2" t="s">
        <v>15</v>
      </c>
      <c r="B4115" s="2" t="str">
        <f>"FES1162772723"</f>
        <v>FES1162772723</v>
      </c>
      <c r="C4115" s="2" t="s">
        <v>2384</v>
      </c>
      <c r="D4115" s="2">
        <v>1</v>
      </c>
      <c r="E4115" s="2" t="str">
        <f>"2170759597"</f>
        <v>2170759597</v>
      </c>
      <c r="F4115" s="2" t="s">
        <v>17</v>
      </c>
      <c r="G4115" s="2" t="s">
        <v>18</v>
      </c>
      <c r="H4115" s="2" t="s">
        <v>18</v>
      </c>
      <c r="I4115" s="2" t="s">
        <v>57</v>
      </c>
      <c r="J4115" s="2" t="s">
        <v>2507</v>
      </c>
      <c r="K4115" s="2" t="s">
        <v>2490</v>
      </c>
      <c r="L4115" s="3">
        <v>0.46875</v>
      </c>
      <c r="M4115" s="2" t="s">
        <v>2556</v>
      </c>
      <c r="N4115" s="2" t="s">
        <v>500</v>
      </c>
      <c r="O4115" s="2"/>
    </row>
    <row r="4116" spans="1:15" x14ac:dyDescent="0.25">
      <c r="A4116" s="2" t="s">
        <v>15</v>
      </c>
      <c r="B4116" s="2" t="str">
        <f>"FES1162772786"</f>
        <v>FES1162772786</v>
      </c>
      <c r="C4116" s="2" t="s">
        <v>2384</v>
      </c>
      <c r="D4116" s="2">
        <v>1</v>
      </c>
      <c r="E4116" s="2" t="str">
        <f>"2170757917"</f>
        <v>2170757917</v>
      </c>
      <c r="F4116" s="2" t="s">
        <v>17</v>
      </c>
      <c r="G4116" s="2" t="s">
        <v>18</v>
      </c>
      <c r="H4116" s="2" t="s">
        <v>18</v>
      </c>
      <c r="I4116" s="2" t="s">
        <v>107</v>
      </c>
      <c r="J4116" s="2" t="s">
        <v>108</v>
      </c>
      <c r="K4116" s="2" t="s">
        <v>2490</v>
      </c>
      <c r="L4116" s="3">
        <v>0.375</v>
      </c>
      <c r="M4116" s="2" t="s">
        <v>354</v>
      </c>
      <c r="N4116" s="2" t="s">
        <v>500</v>
      </c>
      <c r="O4116" s="2"/>
    </row>
    <row r="4117" spans="1:15" x14ac:dyDescent="0.25">
      <c r="A4117" s="2" t="s">
        <v>15</v>
      </c>
      <c r="B4117" s="2" t="str">
        <f>"FES1162772720"</f>
        <v>FES1162772720</v>
      </c>
      <c r="C4117" s="2" t="s">
        <v>2384</v>
      </c>
      <c r="D4117" s="2">
        <v>1</v>
      </c>
      <c r="E4117" s="2" t="str">
        <f>"2170759591"</f>
        <v>2170759591</v>
      </c>
      <c r="F4117" s="2" t="s">
        <v>17</v>
      </c>
      <c r="G4117" s="2" t="s">
        <v>18</v>
      </c>
      <c r="H4117" s="2" t="s">
        <v>25</v>
      </c>
      <c r="I4117" s="2" t="s">
        <v>26</v>
      </c>
      <c r="J4117" s="2" t="s">
        <v>2508</v>
      </c>
      <c r="K4117" s="2" t="s">
        <v>2490</v>
      </c>
      <c r="L4117" s="3">
        <v>0.33263888888888887</v>
      </c>
      <c r="M4117" s="2" t="s">
        <v>820</v>
      </c>
      <c r="N4117" s="2" t="s">
        <v>500</v>
      </c>
      <c r="O4117" s="2"/>
    </row>
    <row r="4118" spans="1:15" x14ac:dyDescent="0.25">
      <c r="A4118" s="2" t="s">
        <v>15</v>
      </c>
      <c r="B4118" s="2" t="str">
        <f>"FES1162772741"</f>
        <v>FES1162772741</v>
      </c>
      <c r="C4118" s="2" t="s">
        <v>2384</v>
      </c>
      <c r="D4118" s="2">
        <v>1</v>
      </c>
      <c r="E4118" s="2" t="str">
        <f>"2170752014"</f>
        <v>2170752014</v>
      </c>
      <c r="F4118" s="2" t="s">
        <v>17</v>
      </c>
      <c r="G4118" s="2" t="s">
        <v>18</v>
      </c>
      <c r="H4118" s="2" t="s">
        <v>19</v>
      </c>
      <c r="I4118" s="2" t="s">
        <v>20</v>
      </c>
      <c r="J4118" s="2" t="s">
        <v>123</v>
      </c>
      <c r="K4118" s="2" t="s">
        <v>2490</v>
      </c>
      <c r="L4118" s="3">
        <v>0.4597222222222222</v>
      </c>
      <c r="M4118" s="2" t="s">
        <v>233</v>
      </c>
      <c r="N4118" s="2" t="s">
        <v>500</v>
      </c>
      <c r="O4118" s="2"/>
    </row>
    <row r="4119" spans="1:15" x14ac:dyDescent="0.25">
      <c r="A4119" s="2" t="s">
        <v>15</v>
      </c>
      <c r="B4119" s="2" t="str">
        <f>"FES1162772702"</f>
        <v>FES1162772702</v>
      </c>
      <c r="C4119" s="2" t="s">
        <v>2384</v>
      </c>
      <c r="D4119" s="2">
        <v>1</v>
      </c>
      <c r="E4119" s="2" t="str">
        <f>"2170759593"</f>
        <v>2170759593</v>
      </c>
      <c r="F4119" s="2" t="s">
        <v>17</v>
      </c>
      <c r="G4119" s="2" t="s">
        <v>18</v>
      </c>
      <c r="H4119" s="2" t="s">
        <v>18</v>
      </c>
      <c r="I4119" s="2" t="s">
        <v>57</v>
      </c>
      <c r="J4119" s="2" t="s">
        <v>2509</v>
      </c>
      <c r="K4119" s="2" t="s">
        <v>2490</v>
      </c>
      <c r="L4119" s="3">
        <v>0.31527777777777777</v>
      </c>
      <c r="M4119" s="2" t="s">
        <v>2557</v>
      </c>
      <c r="N4119" s="2" t="s">
        <v>500</v>
      </c>
      <c r="O4119" s="2"/>
    </row>
    <row r="4120" spans="1:15" x14ac:dyDescent="0.25">
      <c r="A4120" s="21" t="s">
        <v>15</v>
      </c>
      <c r="B4120" s="21" t="str">
        <f>"FES1162772805"</f>
        <v>FES1162772805</v>
      </c>
      <c r="C4120" s="21" t="s">
        <v>2384</v>
      </c>
      <c r="D4120" s="21">
        <v>1</v>
      </c>
      <c r="E4120" s="21" t="str">
        <f>"2170758200"</f>
        <v>2170758200</v>
      </c>
      <c r="F4120" s="21" t="s">
        <v>17</v>
      </c>
      <c r="G4120" s="21" t="s">
        <v>18</v>
      </c>
      <c r="H4120" s="21" t="s">
        <v>19</v>
      </c>
      <c r="I4120" s="21" t="s">
        <v>111</v>
      </c>
      <c r="J4120" s="21" t="s">
        <v>1936</v>
      </c>
      <c r="K4120" s="21" t="s">
        <v>2520</v>
      </c>
      <c r="L4120" s="21"/>
      <c r="M4120" s="21" t="s">
        <v>23</v>
      </c>
      <c r="N4120" s="21" t="s">
        <v>24</v>
      </c>
      <c r="O4120" s="21"/>
    </row>
    <row r="4121" spans="1:15" x14ac:dyDescent="0.25">
      <c r="A4121" s="2" t="s">
        <v>15</v>
      </c>
      <c r="B4121" s="2" t="str">
        <f>"FES1162772730"</f>
        <v>FES1162772730</v>
      </c>
      <c r="C4121" s="2" t="s">
        <v>2384</v>
      </c>
      <c r="D4121" s="2">
        <v>1</v>
      </c>
      <c r="E4121" s="2" t="str">
        <f>"2170759605"</f>
        <v>2170759605</v>
      </c>
      <c r="F4121" s="2" t="s">
        <v>17</v>
      </c>
      <c r="G4121" s="2" t="s">
        <v>18</v>
      </c>
      <c r="H4121" s="2" t="s">
        <v>25</v>
      </c>
      <c r="I4121" s="2" t="s">
        <v>39</v>
      </c>
      <c r="J4121" s="2" t="s">
        <v>40</v>
      </c>
      <c r="K4121" s="2" t="s">
        <v>2490</v>
      </c>
      <c r="L4121" s="3">
        <v>0.41666666666666669</v>
      </c>
      <c r="M4121" s="2" t="s">
        <v>991</v>
      </c>
      <c r="N4121" s="2" t="s">
        <v>500</v>
      </c>
      <c r="O4121" s="2"/>
    </row>
    <row r="4122" spans="1:15" x14ac:dyDescent="0.25">
      <c r="A4122" s="2" t="s">
        <v>15</v>
      </c>
      <c r="B4122" s="2" t="str">
        <f>"FES1162772812"</f>
        <v>FES1162772812</v>
      </c>
      <c r="C4122" s="2" t="s">
        <v>2384</v>
      </c>
      <c r="D4122" s="2">
        <v>1</v>
      </c>
      <c r="E4122" s="2" t="str">
        <f>"2170759624"</f>
        <v>2170759624</v>
      </c>
      <c r="F4122" s="2" t="s">
        <v>17</v>
      </c>
      <c r="G4122" s="2" t="s">
        <v>18</v>
      </c>
      <c r="H4122" s="2" t="s">
        <v>25</v>
      </c>
      <c r="I4122" s="2" t="s">
        <v>26</v>
      </c>
      <c r="J4122" s="2" t="s">
        <v>100</v>
      </c>
      <c r="K4122" s="2" t="s">
        <v>2490</v>
      </c>
      <c r="L4122" s="3">
        <v>0.34097222222222223</v>
      </c>
      <c r="M4122" s="2" t="s">
        <v>2558</v>
      </c>
      <c r="N4122" s="2" t="s">
        <v>500</v>
      </c>
      <c r="O4122" s="2"/>
    </row>
    <row r="4123" spans="1:15" x14ac:dyDescent="0.25">
      <c r="A4123" s="2" t="s">
        <v>15</v>
      </c>
      <c r="B4123" s="2" t="str">
        <f>"FES1162772755"</f>
        <v>FES1162772755</v>
      </c>
      <c r="C4123" s="2" t="s">
        <v>2384</v>
      </c>
      <c r="D4123" s="2">
        <v>1</v>
      </c>
      <c r="E4123" s="2" t="str">
        <f>"2170757601"</f>
        <v>2170757601</v>
      </c>
      <c r="F4123" s="2" t="s">
        <v>17</v>
      </c>
      <c r="G4123" s="2" t="s">
        <v>18</v>
      </c>
      <c r="H4123" s="2" t="s">
        <v>25</v>
      </c>
      <c r="I4123" s="2" t="s">
        <v>26</v>
      </c>
      <c r="J4123" s="2" t="s">
        <v>75</v>
      </c>
      <c r="K4123" s="2" t="s">
        <v>2490</v>
      </c>
      <c r="L4123" s="3">
        <v>0.33194444444444443</v>
      </c>
      <c r="M4123" s="2" t="s">
        <v>1329</v>
      </c>
      <c r="N4123" s="2" t="s">
        <v>500</v>
      </c>
      <c r="O4123" s="2"/>
    </row>
    <row r="4124" spans="1:15" x14ac:dyDescent="0.25">
      <c r="A4124" s="2" t="s">
        <v>15</v>
      </c>
      <c r="B4124" s="2" t="str">
        <f>"FES1162772736"</f>
        <v>FES1162772736</v>
      </c>
      <c r="C4124" s="2" t="s">
        <v>2384</v>
      </c>
      <c r="D4124" s="2">
        <v>1</v>
      </c>
      <c r="E4124" s="2" t="str">
        <f>"2170759620"</f>
        <v>2170759620</v>
      </c>
      <c r="F4124" s="2" t="s">
        <v>17</v>
      </c>
      <c r="G4124" s="2" t="s">
        <v>18</v>
      </c>
      <c r="H4124" s="2" t="s">
        <v>30</v>
      </c>
      <c r="I4124" s="2" t="s">
        <v>147</v>
      </c>
      <c r="J4124" s="2" t="s">
        <v>148</v>
      </c>
      <c r="K4124" s="2" t="s">
        <v>2490</v>
      </c>
      <c r="L4124" s="3">
        <v>0.57152777777777775</v>
      </c>
      <c r="M4124" s="2" t="s">
        <v>2559</v>
      </c>
      <c r="N4124" s="2" t="s">
        <v>500</v>
      </c>
      <c r="O4124" s="2"/>
    </row>
    <row r="4125" spans="1:15" x14ac:dyDescent="0.25">
      <c r="A4125" s="2" t="s">
        <v>15</v>
      </c>
      <c r="B4125" s="2" t="str">
        <f>"FES1162772802"</f>
        <v>FES1162772802</v>
      </c>
      <c r="C4125" s="2" t="s">
        <v>2384</v>
      </c>
      <c r="D4125" s="2">
        <v>1</v>
      </c>
      <c r="E4125" s="2" t="str">
        <f>"2170758119"</f>
        <v>2170758119</v>
      </c>
      <c r="F4125" s="2" t="s">
        <v>17</v>
      </c>
      <c r="G4125" s="2" t="s">
        <v>18</v>
      </c>
      <c r="H4125" s="2" t="s">
        <v>18</v>
      </c>
      <c r="I4125" s="2" t="s">
        <v>478</v>
      </c>
      <c r="J4125" s="2" t="s">
        <v>2510</v>
      </c>
      <c r="K4125" s="2" t="s">
        <v>2490</v>
      </c>
      <c r="L4125" s="3">
        <v>0.35694444444444445</v>
      </c>
      <c r="M4125" s="2" t="s">
        <v>2560</v>
      </c>
      <c r="N4125" s="2" t="s">
        <v>500</v>
      </c>
      <c r="O4125" s="2"/>
    </row>
    <row r="4126" spans="1:15" x14ac:dyDescent="0.25">
      <c r="A4126" s="2" t="s">
        <v>15</v>
      </c>
      <c r="B4126" s="2" t="str">
        <f>"FES1162772826"</f>
        <v>FES1162772826</v>
      </c>
      <c r="C4126" s="2" t="s">
        <v>2384</v>
      </c>
      <c r="D4126" s="2">
        <v>1</v>
      </c>
      <c r="E4126" s="2" t="str">
        <f>"2170757602"</f>
        <v>2170757602</v>
      </c>
      <c r="F4126" s="2" t="s">
        <v>17</v>
      </c>
      <c r="G4126" s="2" t="s">
        <v>18</v>
      </c>
      <c r="H4126" s="2" t="s">
        <v>25</v>
      </c>
      <c r="I4126" s="2" t="s">
        <v>42</v>
      </c>
      <c r="J4126" s="2" t="s">
        <v>43</v>
      </c>
      <c r="K4126" s="2" t="s">
        <v>2490</v>
      </c>
      <c r="L4126" s="3">
        <v>0.51527777777777783</v>
      </c>
      <c r="M4126" s="2" t="s">
        <v>180</v>
      </c>
      <c r="N4126" s="2" t="s">
        <v>500</v>
      </c>
      <c r="O4126" s="2"/>
    </row>
    <row r="4127" spans="1:15" x14ac:dyDescent="0.25">
      <c r="A4127" s="2" t="s">
        <v>15</v>
      </c>
      <c r="B4127" s="2" t="str">
        <f>"FES1162772729"</f>
        <v>FES1162772729</v>
      </c>
      <c r="C4127" s="2" t="s">
        <v>2384</v>
      </c>
      <c r="D4127" s="2">
        <v>1</v>
      </c>
      <c r="E4127" s="2" t="str">
        <f>"2170759604"</f>
        <v>2170759604</v>
      </c>
      <c r="F4127" s="2" t="s">
        <v>17</v>
      </c>
      <c r="G4127" s="2" t="s">
        <v>18</v>
      </c>
      <c r="H4127" s="2" t="s">
        <v>36</v>
      </c>
      <c r="I4127" s="2" t="s">
        <v>37</v>
      </c>
      <c r="J4127" s="2" t="s">
        <v>55</v>
      </c>
      <c r="K4127" s="2" t="s">
        <v>2490</v>
      </c>
      <c r="L4127" s="3">
        <v>0.51041666666666663</v>
      </c>
      <c r="M4127" s="2" t="s">
        <v>836</v>
      </c>
      <c r="N4127" s="2" t="s">
        <v>500</v>
      </c>
      <c r="O4127" s="2"/>
    </row>
    <row r="4128" spans="1:15" x14ac:dyDescent="0.25">
      <c r="A4128" s="2" t="s">
        <v>15</v>
      </c>
      <c r="B4128" s="2" t="str">
        <f>"FES1162772870"</f>
        <v>FES1162772870</v>
      </c>
      <c r="C4128" s="2" t="s">
        <v>2384</v>
      </c>
      <c r="D4128" s="2">
        <v>1</v>
      </c>
      <c r="E4128" s="2" t="str">
        <f>"2170758042"</f>
        <v>2170758042</v>
      </c>
      <c r="F4128" s="2" t="s">
        <v>17</v>
      </c>
      <c r="G4128" s="2" t="s">
        <v>18</v>
      </c>
      <c r="H4128" s="2" t="s">
        <v>78</v>
      </c>
      <c r="I4128" s="2" t="s">
        <v>79</v>
      </c>
      <c r="J4128" s="2" t="s">
        <v>113</v>
      </c>
      <c r="K4128" s="2" t="s">
        <v>2490</v>
      </c>
      <c r="L4128" s="3">
        <v>0.36458333333333331</v>
      </c>
      <c r="M4128" s="2" t="s">
        <v>2561</v>
      </c>
      <c r="N4128" s="2" t="s">
        <v>500</v>
      </c>
      <c r="O4128" s="2"/>
    </row>
    <row r="4129" spans="1:15" x14ac:dyDescent="0.25">
      <c r="A4129" s="2" t="s">
        <v>15</v>
      </c>
      <c r="B4129" s="2" t="str">
        <f>"FES1162772858"</f>
        <v>FES1162772858</v>
      </c>
      <c r="C4129" s="2" t="s">
        <v>2384</v>
      </c>
      <c r="D4129" s="2">
        <v>1</v>
      </c>
      <c r="E4129" s="2" t="str">
        <f>"2170757874"</f>
        <v>2170757874</v>
      </c>
      <c r="F4129" s="2" t="s">
        <v>17</v>
      </c>
      <c r="G4129" s="2" t="s">
        <v>18</v>
      </c>
      <c r="H4129" s="2" t="s">
        <v>19</v>
      </c>
      <c r="I4129" s="2" t="s">
        <v>20</v>
      </c>
      <c r="J4129" s="2" t="s">
        <v>606</v>
      </c>
      <c r="K4129" s="2" t="s">
        <v>2490</v>
      </c>
      <c r="L4129" s="3">
        <v>0.52638888888888891</v>
      </c>
      <c r="M4129" s="2" t="s">
        <v>2086</v>
      </c>
      <c r="N4129" s="2" t="s">
        <v>500</v>
      </c>
      <c r="O4129" s="2"/>
    </row>
    <row r="4130" spans="1:15" x14ac:dyDescent="0.25">
      <c r="A4130" s="2" t="s">
        <v>15</v>
      </c>
      <c r="B4130" s="2" t="str">
        <f>"FES1162772851"</f>
        <v>FES1162772851</v>
      </c>
      <c r="C4130" s="2" t="s">
        <v>2384</v>
      </c>
      <c r="D4130" s="2">
        <v>1</v>
      </c>
      <c r="E4130" s="2" t="str">
        <f>"2170757830"</f>
        <v>2170757830</v>
      </c>
      <c r="F4130" s="2" t="s">
        <v>17</v>
      </c>
      <c r="G4130" s="2" t="s">
        <v>18</v>
      </c>
      <c r="H4130" s="2" t="s">
        <v>25</v>
      </c>
      <c r="I4130" s="2" t="s">
        <v>26</v>
      </c>
      <c r="J4130" s="2" t="s">
        <v>75</v>
      </c>
      <c r="K4130" s="2" t="s">
        <v>2490</v>
      </c>
      <c r="L4130" s="3">
        <v>0.33263888888888887</v>
      </c>
      <c r="M4130" s="2" t="s">
        <v>1329</v>
      </c>
      <c r="N4130" s="2" t="s">
        <v>500</v>
      </c>
      <c r="O4130" s="2"/>
    </row>
    <row r="4131" spans="1:15" x14ac:dyDescent="0.25">
      <c r="A4131" s="2" t="s">
        <v>15</v>
      </c>
      <c r="B4131" s="2" t="str">
        <f>"FES1162772795"</f>
        <v>FES1162772795</v>
      </c>
      <c r="C4131" s="2" t="s">
        <v>2384</v>
      </c>
      <c r="D4131" s="2">
        <v>1</v>
      </c>
      <c r="E4131" s="2" t="str">
        <f>"2170758036"</f>
        <v>2170758036</v>
      </c>
      <c r="F4131" s="2" t="s">
        <v>17</v>
      </c>
      <c r="G4131" s="2" t="s">
        <v>18</v>
      </c>
      <c r="H4131" s="2" t="s">
        <v>19</v>
      </c>
      <c r="I4131" s="2" t="s">
        <v>20</v>
      </c>
      <c r="J4131" s="2" t="s">
        <v>21</v>
      </c>
      <c r="K4131" s="2" t="s">
        <v>2490</v>
      </c>
      <c r="L4131" s="3">
        <v>0.40138888888888885</v>
      </c>
      <c r="M4131" s="2" t="s">
        <v>682</v>
      </c>
      <c r="N4131" s="2" t="s">
        <v>500</v>
      </c>
      <c r="O4131" s="2"/>
    </row>
    <row r="4132" spans="1:15" x14ac:dyDescent="0.25">
      <c r="A4132" s="2" t="s">
        <v>15</v>
      </c>
      <c r="B4132" s="2" t="str">
        <f>"FES1162772827"</f>
        <v>FES1162772827</v>
      </c>
      <c r="C4132" s="2" t="s">
        <v>2384</v>
      </c>
      <c r="D4132" s="2">
        <v>1</v>
      </c>
      <c r="E4132" s="2" t="str">
        <f>"2170757606"</f>
        <v>2170757606</v>
      </c>
      <c r="F4132" s="2" t="s">
        <v>17</v>
      </c>
      <c r="G4132" s="2" t="s">
        <v>18</v>
      </c>
      <c r="H4132" s="2" t="s">
        <v>19</v>
      </c>
      <c r="I4132" s="2" t="s">
        <v>111</v>
      </c>
      <c r="J4132" s="2" t="s">
        <v>143</v>
      </c>
      <c r="K4132" s="2" t="s">
        <v>2490</v>
      </c>
      <c r="L4132" s="3">
        <v>0.35902777777777778</v>
      </c>
      <c r="M4132" s="2" t="s">
        <v>144</v>
      </c>
      <c r="N4132" s="2" t="s">
        <v>500</v>
      </c>
      <c r="O4132" s="2"/>
    </row>
    <row r="4133" spans="1:15" x14ac:dyDescent="0.25">
      <c r="A4133" s="2" t="s">
        <v>15</v>
      </c>
      <c r="B4133" s="2" t="str">
        <f>"FES1162772881"</f>
        <v>FES1162772881</v>
      </c>
      <c r="C4133" s="2" t="s">
        <v>2384</v>
      </c>
      <c r="D4133" s="2">
        <v>1</v>
      </c>
      <c r="E4133" s="2" t="str">
        <f>"2170758149"</f>
        <v>2170758149</v>
      </c>
      <c r="F4133" s="2" t="s">
        <v>17</v>
      </c>
      <c r="G4133" s="2" t="s">
        <v>18</v>
      </c>
      <c r="H4133" s="2" t="s">
        <v>18</v>
      </c>
      <c r="I4133" s="2" t="s">
        <v>57</v>
      </c>
      <c r="J4133" s="2" t="s">
        <v>473</v>
      </c>
      <c r="K4133" s="2" t="s">
        <v>2490</v>
      </c>
      <c r="L4133" s="3">
        <v>0.375</v>
      </c>
      <c r="M4133" s="2" t="s">
        <v>2562</v>
      </c>
      <c r="N4133" s="2" t="s">
        <v>500</v>
      </c>
      <c r="O4133" s="2"/>
    </row>
    <row r="4134" spans="1:15" x14ac:dyDescent="0.25">
      <c r="A4134" s="2" t="s">
        <v>15</v>
      </c>
      <c r="B4134" s="2" t="str">
        <f>"FES1162772696"</f>
        <v>FES1162772696</v>
      </c>
      <c r="C4134" s="2" t="s">
        <v>2384</v>
      </c>
      <c r="D4134" s="2">
        <v>1</v>
      </c>
      <c r="E4134" s="2" t="str">
        <f>"2170759175"</f>
        <v>2170759175</v>
      </c>
      <c r="F4134" s="2" t="s">
        <v>17</v>
      </c>
      <c r="G4134" s="2" t="s">
        <v>18</v>
      </c>
      <c r="H4134" s="2" t="s">
        <v>18</v>
      </c>
      <c r="I4134" s="2" t="s">
        <v>459</v>
      </c>
      <c r="J4134" s="2" t="s">
        <v>460</v>
      </c>
      <c r="K4134" s="2" t="s">
        <v>2490</v>
      </c>
      <c r="L4134" s="3">
        <v>0.35416666666666669</v>
      </c>
      <c r="M4134" s="2" t="s">
        <v>567</v>
      </c>
      <c r="N4134" s="2" t="s">
        <v>500</v>
      </c>
      <c r="O4134" s="2"/>
    </row>
    <row r="4135" spans="1:15" x14ac:dyDescent="0.25">
      <c r="A4135" s="2" t="s">
        <v>15</v>
      </c>
      <c r="B4135" s="2" t="str">
        <f>"FES1162772815"</f>
        <v>FES1162772815</v>
      </c>
      <c r="C4135" s="2" t="s">
        <v>2384</v>
      </c>
      <c r="D4135" s="2">
        <v>1</v>
      </c>
      <c r="E4135" s="2" t="str">
        <f>"2170754965"</f>
        <v>2170754965</v>
      </c>
      <c r="F4135" s="2" t="s">
        <v>17</v>
      </c>
      <c r="G4135" s="2" t="s">
        <v>18</v>
      </c>
      <c r="H4135" s="2" t="s">
        <v>36</v>
      </c>
      <c r="I4135" s="2" t="s">
        <v>37</v>
      </c>
      <c r="J4135" s="2" t="s">
        <v>272</v>
      </c>
      <c r="K4135" s="2" t="s">
        <v>2490</v>
      </c>
      <c r="L4135" s="3">
        <v>0.4284722222222222</v>
      </c>
      <c r="M4135" s="2" t="s">
        <v>538</v>
      </c>
      <c r="N4135" s="2" t="s">
        <v>500</v>
      </c>
      <c r="O4135" s="2"/>
    </row>
    <row r="4136" spans="1:15" x14ac:dyDescent="0.25">
      <c r="A4136" s="2" t="s">
        <v>15</v>
      </c>
      <c r="B4136" s="2" t="str">
        <f>"FES1162772880"</f>
        <v>FES1162772880</v>
      </c>
      <c r="C4136" s="2" t="s">
        <v>2384</v>
      </c>
      <c r="D4136" s="2">
        <v>1</v>
      </c>
      <c r="E4136" s="2" t="str">
        <f>"2170758142"</f>
        <v>2170758142</v>
      </c>
      <c r="F4136" s="2" t="s">
        <v>17</v>
      </c>
      <c r="G4136" s="2" t="s">
        <v>18</v>
      </c>
      <c r="H4136" s="2" t="s">
        <v>36</v>
      </c>
      <c r="I4136" s="2" t="s">
        <v>37</v>
      </c>
      <c r="J4136" s="2" t="s">
        <v>280</v>
      </c>
      <c r="K4136" s="2" t="s">
        <v>2490</v>
      </c>
      <c r="L4136" s="3">
        <v>0.375</v>
      </c>
      <c r="M4136" s="2" t="s">
        <v>2563</v>
      </c>
      <c r="N4136" s="2" t="s">
        <v>500</v>
      </c>
      <c r="O4136" s="2"/>
    </row>
    <row r="4137" spans="1:15" x14ac:dyDescent="0.25">
      <c r="A4137" s="2" t="s">
        <v>15</v>
      </c>
      <c r="B4137" s="2" t="str">
        <f>"FES1162772912"</f>
        <v>FES1162772912</v>
      </c>
      <c r="C4137" s="2" t="s">
        <v>2384</v>
      </c>
      <c r="D4137" s="2">
        <v>1</v>
      </c>
      <c r="E4137" s="2" t="str">
        <f>"2170756596"</f>
        <v>2170756596</v>
      </c>
      <c r="F4137" s="2" t="s">
        <v>17</v>
      </c>
      <c r="G4137" s="2" t="s">
        <v>18</v>
      </c>
      <c r="H4137" s="2" t="s">
        <v>18</v>
      </c>
      <c r="I4137" s="2" t="s">
        <v>57</v>
      </c>
      <c r="J4137" s="2" t="s">
        <v>91</v>
      </c>
      <c r="K4137" s="2" t="s">
        <v>2490</v>
      </c>
      <c r="L4137" s="3">
        <v>0.28750000000000003</v>
      </c>
      <c r="M4137" s="2" t="s">
        <v>209</v>
      </c>
      <c r="N4137" s="2" t="s">
        <v>500</v>
      </c>
      <c r="O4137" s="2"/>
    </row>
    <row r="4138" spans="1:15" x14ac:dyDescent="0.25">
      <c r="A4138" s="2" t="s">
        <v>15</v>
      </c>
      <c r="B4138" s="2" t="str">
        <f>"FES1162772855"</f>
        <v>FES1162772855</v>
      </c>
      <c r="C4138" s="2" t="s">
        <v>2384</v>
      </c>
      <c r="D4138" s="2">
        <v>1</v>
      </c>
      <c r="E4138" s="2" t="str">
        <f>"2170757860"</f>
        <v>2170757860</v>
      </c>
      <c r="F4138" s="2" t="s">
        <v>17</v>
      </c>
      <c r="G4138" s="2" t="s">
        <v>18</v>
      </c>
      <c r="H4138" s="2" t="s">
        <v>18</v>
      </c>
      <c r="I4138" s="2" t="s">
        <v>105</v>
      </c>
      <c r="J4138" s="2" t="s">
        <v>341</v>
      </c>
      <c r="K4138" s="2" t="s">
        <v>2490</v>
      </c>
      <c r="L4138" s="3">
        <v>0.375</v>
      </c>
      <c r="M4138" s="2" t="s">
        <v>2564</v>
      </c>
      <c r="N4138" s="2" t="s">
        <v>500</v>
      </c>
      <c r="O4138" s="2"/>
    </row>
    <row r="4139" spans="1:15" x14ac:dyDescent="0.25">
      <c r="A4139" s="2" t="s">
        <v>15</v>
      </c>
      <c r="B4139" s="2" t="str">
        <f>"FES1162772735"</f>
        <v>FES1162772735</v>
      </c>
      <c r="C4139" s="2" t="s">
        <v>2384</v>
      </c>
      <c r="D4139" s="2">
        <v>1</v>
      </c>
      <c r="E4139" s="2" t="str">
        <f>"2170759614"</f>
        <v>2170759614</v>
      </c>
      <c r="F4139" s="2" t="s">
        <v>17</v>
      </c>
      <c r="G4139" s="2" t="s">
        <v>18</v>
      </c>
      <c r="H4139" s="2" t="s">
        <v>18</v>
      </c>
      <c r="I4139" s="2" t="s">
        <v>46</v>
      </c>
      <c r="J4139" s="2" t="s">
        <v>59</v>
      </c>
      <c r="K4139" s="2" t="s">
        <v>2490</v>
      </c>
      <c r="L4139" s="3">
        <v>0.33333333333333331</v>
      </c>
      <c r="M4139" s="2" t="s">
        <v>60</v>
      </c>
      <c r="N4139" s="2" t="s">
        <v>500</v>
      </c>
      <c r="O4139" s="2"/>
    </row>
    <row r="4140" spans="1:15" x14ac:dyDescent="0.25">
      <c r="A4140" s="2" t="s">
        <v>15</v>
      </c>
      <c r="B4140" s="2" t="str">
        <f>"FES1162772857"</f>
        <v>FES1162772857</v>
      </c>
      <c r="C4140" s="2" t="s">
        <v>2384</v>
      </c>
      <c r="D4140" s="2">
        <v>1</v>
      </c>
      <c r="E4140" s="2" t="str">
        <f>"2170757871"</f>
        <v>2170757871</v>
      </c>
      <c r="F4140" s="2" t="s">
        <v>17</v>
      </c>
      <c r="G4140" s="2" t="s">
        <v>18</v>
      </c>
      <c r="H4140" s="2" t="s">
        <v>33</v>
      </c>
      <c r="I4140" s="2" t="s">
        <v>34</v>
      </c>
      <c r="J4140" s="2" t="s">
        <v>400</v>
      </c>
      <c r="K4140" s="2" t="s">
        <v>2490</v>
      </c>
      <c r="L4140" s="3">
        <v>0.43333333333333335</v>
      </c>
      <c r="M4140" s="2" t="s">
        <v>2529</v>
      </c>
      <c r="N4140" s="2" t="s">
        <v>500</v>
      </c>
      <c r="O4140" s="2"/>
    </row>
    <row r="4141" spans="1:15" x14ac:dyDescent="0.25">
      <c r="A4141" s="2" t="s">
        <v>15</v>
      </c>
      <c r="B4141" s="2" t="str">
        <f>"FES1162772862"</f>
        <v>FES1162772862</v>
      </c>
      <c r="C4141" s="2" t="s">
        <v>2384</v>
      </c>
      <c r="D4141" s="2">
        <v>1</v>
      </c>
      <c r="E4141" s="2" t="str">
        <f>"2170757909"</f>
        <v>2170757909</v>
      </c>
      <c r="F4141" s="2" t="s">
        <v>17</v>
      </c>
      <c r="G4141" s="2" t="s">
        <v>18</v>
      </c>
      <c r="H4141" s="2" t="s">
        <v>18</v>
      </c>
      <c r="I4141" s="2" t="s">
        <v>63</v>
      </c>
      <c r="J4141" s="2" t="s">
        <v>93</v>
      </c>
      <c r="K4141" s="2" t="s">
        <v>2490</v>
      </c>
      <c r="L4141" s="3">
        <v>0.33958333333333335</v>
      </c>
      <c r="M4141" s="2" t="s">
        <v>397</v>
      </c>
      <c r="N4141" s="2" t="s">
        <v>500</v>
      </c>
      <c r="O4141" s="2"/>
    </row>
    <row r="4142" spans="1:15" x14ac:dyDescent="0.25">
      <c r="A4142" s="2" t="s">
        <v>15</v>
      </c>
      <c r="B4142" s="2" t="str">
        <f>"FES1162772697"</f>
        <v>FES1162772697</v>
      </c>
      <c r="C4142" s="2" t="s">
        <v>2384</v>
      </c>
      <c r="D4142" s="2">
        <v>1</v>
      </c>
      <c r="E4142" s="2" t="str">
        <f>"2170759377"</f>
        <v>2170759377</v>
      </c>
      <c r="F4142" s="2" t="s">
        <v>17</v>
      </c>
      <c r="G4142" s="2" t="s">
        <v>18</v>
      </c>
      <c r="H4142" s="2" t="s">
        <v>18</v>
      </c>
      <c r="I4142" s="2" t="s">
        <v>82</v>
      </c>
      <c r="J4142" s="2" t="s">
        <v>1707</v>
      </c>
      <c r="K4142" s="2" t="s">
        <v>2490</v>
      </c>
      <c r="L4142" s="3">
        <v>0.41666666666666669</v>
      </c>
      <c r="M4142" s="2" t="s">
        <v>1214</v>
      </c>
      <c r="N4142" s="2" t="s">
        <v>500</v>
      </c>
      <c r="O4142" s="2"/>
    </row>
    <row r="4143" spans="1:15" x14ac:dyDescent="0.25">
      <c r="A4143" s="2" t="s">
        <v>15</v>
      </c>
      <c r="B4143" s="2" t="str">
        <f>"FES1162772890"</f>
        <v>FES1162772890</v>
      </c>
      <c r="C4143" s="2" t="s">
        <v>2384</v>
      </c>
      <c r="D4143" s="2">
        <v>1</v>
      </c>
      <c r="E4143" s="2" t="str">
        <f>"2170759636"</f>
        <v>2170759636</v>
      </c>
      <c r="F4143" s="2" t="s">
        <v>17</v>
      </c>
      <c r="G4143" s="2" t="s">
        <v>18</v>
      </c>
      <c r="H4143" s="2" t="s">
        <v>19</v>
      </c>
      <c r="I4143" s="2" t="s">
        <v>20</v>
      </c>
      <c r="J4143" s="2" t="s">
        <v>21</v>
      </c>
      <c r="K4143" s="2" t="s">
        <v>2490</v>
      </c>
      <c r="L4143" s="3">
        <v>0.40138888888888885</v>
      </c>
      <c r="M4143" s="2" t="s">
        <v>682</v>
      </c>
      <c r="N4143" s="2" t="s">
        <v>500</v>
      </c>
      <c r="O4143" s="2"/>
    </row>
    <row r="4144" spans="1:15" x14ac:dyDescent="0.25">
      <c r="A4144" s="2" t="s">
        <v>15</v>
      </c>
      <c r="B4144" s="2" t="str">
        <f>"FES1162772698"</f>
        <v>FES1162772698</v>
      </c>
      <c r="C4144" s="2" t="s">
        <v>2384</v>
      </c>
      <c r="D4144" s="2">
        <v>1</v>
      </c>
      <c r="E4144" s="2" t="str">
        <f>"2170759415"</f>
        <v>2170759415</v>
      </c>
      <c r="F4144" s="2" t="s">
        <v>17</v>
      </c>
      <c r="G4144" s="2" t="s">
        <v>18</v>
      </c>
      <c r="H4144" s="2" t="s">
        <v>18</v>
      </c>
      <c r="I4144" s="2" t="s">
        <v>82</v>
      </c>
      <c r="J4144" s="2" t="s">
        <v>1707</v>
      </c>
      <c r="K4144" s="2" t="s">
        <v>2490</v>
      </c>
      <c r="L4144" s="3">
        <v>0.41666666666666669</v>
      </c>
      <c r="M4144" s="2" t="s">
        <v>1214</v>
      </c>
      <c r="N4144" s="2" t="s">
        <v>500</v>
      </c>
      <c r="O4144" s="2"/>
    </row>
    <row r="4145" spans="1:15" x14ac:dyDescent="0.25">
      <c r="A4145" s="2" t="s">
        <v>15</v>
      </c>
      <c r="B4145" s="2" t="str">
        <f>"FES1162772861"</f>
        <v>FES1162772861</v>
      </c>
      <c r="C4145" s="2" t="s">
        <v>2384</v>
      </c>
      <c r="D4145" s="2">
        <v>1</v>
      </c>
      <c r="E4145" s="2" t="str">
        <f>"2170757906"</f>
        <v>2170757906</v>
      </c>
      <c r="F4145" s="2" t="s">
        <v>17</v>
      </c>
      <c r="G4145" s="2" t="s">
        <v>18</v>
      </c>
      <c r="H4145" s="2" t="s">
        <v>18</v>
      </c>
      <c r="I4145" s="2" t="s">
        <v>46</v>
      </c>
      <c r="J4145" s="2" t="s">
        <v>59</v>
      </c>
      <c r="K4145" s="2" t="s">
        <v>2490</v>
      </c>
      <c r="L4145" s="3">
        <v>0.4375</v>
      </c>
      <c r="M4145" s="2" t="s">
        <v>60</v>
      </c>
      <c r="N4145" s="2" t="s">
        <v>500</v>
      </c>
      <c r="O4145" s="2"/>
    </row>
    <row r="4146" spans="1:15" x14ac:dyDescent="0.25">
      <c r="A4146" s="2" t="s">
        <v>15</v>
      </c>
      <c r="B4146" s="2" t="str">
        <f>"FES1162772785"</f>
        <v>FES1162772785</v>
      </c>
      <c r="C4146" s="2" t="s">
        <v>2384</v>
      </c>
      <c r="D4146" s="2">
        <v>1</v>
      </c>
      <c r="E4146" s="2" t="str">
        <f>"2170757916"</f>
        <v>2170757916</v>
      </c>
      <c r="F4146" s="2" t="s">
        <v>17</v>
      </c>
      <c r="G4146" s="2" t="s">
        <v>18</v>
      </c>
      <c r="H4146" s="2" t="s">
        <v>36</v>
      </c>
      <c r="I4146" s="2" t="s">
        <v>37</v>
      </c>
      <c r="J4146" s="2" t="s">
        <v>646</v>
      </c>
      <c r="K4146" s="2" t="s">
        <v>2490</v>
      </c>
      <c r="L4146" s="3">
        <v>0.3923611111111111</v>
      </c>
      <c r="M4146" s="2" t="s">
        <v>2547</v>
      </c>
      <c r="N4146" s="2" t="s">
        <v>500</v>
      </c>
      <c r="O4146" s="2"/>
    </row>
    <row r="4147" spans="1:15" x14ac:dyDescent="0.25">
      <c r="A4147" s="2" t="s">
        <v>15</v>
      </c>
      <c r="B4147" s="2" t="str">
        <f>"FES1162772684"</f>
        <v>FES1162772684</v>
      </c>
      <c r="C4147" s="2" t="s">
        <v>2384</v>
      </c>
      <c r="D4147" s="2">
        <v>1</v>
      </c>
      <c r="E4147" s="2" t="str">
        <f>"2170759573"</f>
        <v>2170759573</v>
      </c>
      <c r="F4147" s="2" t="s">
        <v>17</v>
      </c>
      <c r="G4147" s="2" t="s">
        <v>18</v>
      </c>
      <c r="H4147" s="2" t="s">
        <v>18</v>
      </c>
      <c r="I4147" s="2" t="s">
        <v>65</v>
      </c>
      <c r="J4147" s="2" t="s">
        <v>87</v>
      </c>
      <c r="K4147" s="2" t="s">
        <v>2490</v>
      </c>
      <c r="L4147" s="3">
        <v>0.35416666666666669</v>
      </c>
      <c r="M4147" s="2" t="s">
        <v>557</v>
      </c>
      <c r="N4147" s="2" t="s">
        <v>500</v>
      </c>
      <c r="O4147" s="2"/>
    </row>
    <row r="4148" spans="1:15" x14ac:dyDescent="0.25">
      <c r="A4148" s="2" t="s">
        <v>15</v>
      </c>
      <c r="B4148" s="2" t="str">
        <f>"FES1162772832"</f>
        <v>FES1162772832</v>
      </c>
      <c r="C4148" s="2" t="s">
        <v>2384</v>
      </c>
      <c r="D4148" s="2">
        <v>1</v>
      </c>
      <c r="E4148" s="2" t="str">
        <f>"2170757654"</f>
        <v>2170757654</v>
      </c>
      <c r="F4148" s="2" t="s">
        <v>17</v>
      </c>
      <c r="G4148" s="2" t="s">
        <v>18</v>
      </c>
      <c r="H4148" s="2" t="s">
        <v>18</v>
      </c>
      <c r="I4148" s="2" t="s">
        <v>63</v>
      </c>
      <c r="J4148" s="2" t="s">
        <v>93</v>
      </c>
      <c r="K4148" s="2" t="s">
        <v>2490</v>
      </c>
      <c r="L4148" s="3">
        <v>0.34027777777777773</v>
      </c>
      <c r="M4148" s="2" t="s">
        <v>397</v>
      </c>
      <c r="N4148" s="2" t="s">
        <v>500</v>
      </c>
      <c r="O4148" s="2"/>
    </row>
    <row r="4149" spans="1:15" x14ac:dyDescent="0.25">
      <c r="A4149" s="2" t="s">
        <v>15</v>
      </c>
      <c r="B4149" s="2" t="str">
        <f>"FES1162772817"</f>
        <v>FES1162772817</v>
      </c>
      <c r="C4149" s="2" t="s">
        <v>2384</v>
      </c>
      <c r="D4149" s="2">
        <v>1</v>
      </c>
      <c r="E4149" s="2" t="str">
        <f>"2170755631"</f>
        <v>2170755631</v>
      </c>
      <c r="F4149" s="2" t="s">
        <v>17</v>
      </c>
      <c r="G4149" s="2" t="s">
        <v>18</v>
      </c>
      <c r="H4149" s="2" t="s">
        <v>36</v>
      </c>
      <c r="I4149" s="2" t="s">
        <v>37</v>
      </c>
      <c r="J4149" s="2" t="s">
        <v>378</v>
      </c>
      <c r="K4149" s="2" t="s">
        <v>2490</v>
      </c>
      <c r="L4149" s="3">
        <v>0.4152777777777778</v>
      </c>
      <c r="M4149" s="2" t="s">
        <v>2345</v>
      </c>
      <c r="N4149" s="2" t="s">
        <v>500</v>
      </c>
      <c r="O4149" s="2"/>
    </row>
    <row r="4150" spans="1:15" x14ac:dyDescent="0.25">
      <c r="A4150" s="2" t="s">
        <v>15</v>
      </c>
      <c r="B4150" s="2" t="str">
        <f>"FES1162772769"</f>
        <v>FES1162772769</v>
      </c>
      <c r="C4150" s="2" t="s">
        <v>2384</v>
      </c>
      <c r="D4150" s="2">
        <v>1</v>
      </c>
      <c r="E4150" s="2" t="str">
        <f>"2170757754"</f>
        <v>2170757754</v>
      </c>
      <c r="F4150" s="2" t="s">
        <v>17</v>
      </c>
      <c r="G4150" s="2" t="s">
        <v>18</v>
      </c>
      <c r="H4150" s="2" t="s">
        <v>18</v>
      </c>
      <c r="I4150" s="2" t="s">
        <v>63</v>
      </c>
      <c r="J4150" s="2" t="s">
        <v>1287</v>
      </c>
      <c r="K4150" s="2" t="s">
        <v>2490</v>
      </c>
      <c r="L4150" s="3">
        <v>0.4375</v>
      </c>
      <c r="M4150" s="2" t="s">
        <v>1339</v>
      </c>
      <c r="N4150" s="2" t="s">
        <v>500</v>
      </c>
      <c r="O4150" s="2"/>
    </row>
    <row r="4151" spans="1:15" x14ac:dyDescent="0.25">
      <c r="A4151" s="2" t="s">
        <v>15</v>
      </c>
      <c r="B4151" s="2" t="str">
        <f>"FES1162772822"</f>
        <v>FES1162772822</v>
      </c>
      <c r="C4151" s="2" t="s">
        <v>2384</v>
      </c>
      <c r="D4151" s="2">
        <v>1</v>
      </c>
      <c r="E4151" s="2" t="str">
        <f>"2170757434"</f>
        <v>2170757434</v>
      </c>
      <c r="F4151" s="2" t="s">
        <v>17</v>
      </c>
      <c r="G4151" s="2" t="s">
        <v>18</v>
      </c>
      <c r="H4151" s="2" t="s">
        <v>19</v>
      </c>
      <c r="I4151" s="2" t="s">
        <v>73</v>
      </c>
      <c r="J4151" s="2" t="s">
        <v>76</v>
      </c>
      <c r="K4151" s="2" t="s">
        <v>2490</v>
      </c>
      <c r="L4151" s="3">
        <v>0.45277777777777778</v>
      </c>
      <c r="M4151" s="2" t="s">
        <v>197</v>
      </c>
      <c r="N4151" s="2" t="s">
        <v>500</v>
      </c>
      <c r="O4151" s="2"/>
    </row>
    <row r="4152" spans="1:15" x14ac:dyDescent="0.25">
      <c r="A4152" s="2" t="s">
        <v>15</v>
      </c>
      <c r="B4152" s="2" t="str">
        <f>"FES1162772804"</f>
        <v>FES1162772804</v>
      </c>
      <c r="C4152" s="2" t="s">
        <v>2384</v>
      </c>
      <c r="D4152" s="2">
        <v>1</v>
      </c>
      <c r="E4152" s="2" t="str">
        <f>"2170758183"</f>
        <v>2170758183</v>
      </c>
      <c r="F4152" s="2" t="s">
        <v>17</v>
      </c>
      <c r="G4152" s="2" t="s">
        <v>18</v>
      </c>
      <c r="H4152" s="2" t="s">
        <v>78</v>
      </c>
      <c r="I4152" s="2" t="s">
        <v>159</v>
      </c>
      <c r="J4152" s="2" t="s">
        <v>402</v>
      </c>
      <c r="K4152" s="2" t="s">
        <v>2490</v>
      </c>
      <c r="L4152" s="3">
        <v>0.43194444444444446</v>
      </c>
      <c r="M4152" s="2" t="s">
        <v>523</v>
      </c>
      <c r="N4152" s="2" t="s">
        <v>500</v>
      </c>
      <c r="O4152" s="2"/>
    </row>
    <row r="4153" spans="1:15" x14ac:dyDescent="0.25">
      <c r="A4153" s="2" t="s">
        <v>15</v>
      </c>
      <c r="B4153" s="2" t="str">
        <f>"FES1162772767"</f>
        <v>FES1162772767</v>
      </c>
      <c r="C4153" s="2" t="s">
        <v>2384</v>
      </c>
      <c r="D4153" s="2">
        <v>1</v>
      </c>
      <c r="E4153" s="2" t="str">
        <f>"2170757745"</f>
        <v>2170757745</v>
      </c>
      <c r="F4153" s="2" t="s">
        <v>17</v>
      </c>
      <c r="G4153" s="2" t="s">
        <v>18</v>
      </c>
      <c r="H4153" s="2" t="s">
        <v>19</v>
      </c>
      <c r="I4153" s="2" t="s">
        <v>20</v>
      </c>
      <c r="J4153" s="2" t="s">
        <v>327</v>
      </c>
      <c r="K4153" s="2" t="s">
        <v>2490</v>
      </c>
      <c r="L4153" s="3">
        <v>0.35833333333333334</v>
      </c>
      <c r="M4153" s="2" t="s">
        <v>529</v>
      </c>
      <c r="N4153" s="2" t="s">
        <v>500</v>
      </c>
      <c r="O4153" s="2"/>
    </row>
    <row r="4154" spans="1:15" x14ac:dyDescent="0.25">
      <c r="A4154" s="2" t="s">
        <v>15</v>
      </c>
      <c r="B4154" s="2" t="str">
        <f>"RFES1162772092"</f>
        <v>RFES1162772092</v>
      </c>
      <c r="C4154" s="2" t="s">
        <v>2384</v>
      </c>
      <c r="D4154" s="2">
        <v>1</v>
      </c>
      <c r="E4154" s="2" t="str">
        <f>"2170759111 PFES1162772092_0001"</f>
        <v>2170759111 PFES1162772092_0001</v>
      </c>
      <c r="F4154" s="2" t="s">
        <v>17</v>
      </c>
      <c r="G4154" s="2" t="s">
        <v>19</v>
      </c>
      <c r="H4154" s="2" t="s">
        <v>18</v>
      </c>
      <c r="I4154" s="2" t="s">
        <v>46</v>
      </c>
      <c r="J4154" s="2" t="s">
        <v>170</v>
      </c>
      <c r="K4154" s="2" t="s">
        <v>2490</v>
      </c>
      <c r="L4154" s="3">
        <v>0.38055555555555554</v>
      </c>
      <c r="M4154" s="2" t="s">
        <v>262</v>
      </c>
      <c r="N4154" s="2" t="s">
        <v>500</v>
      </c>
      <c r="O4154" s="2"/>
    </row>
    <row r="4155" spans="1:15" x14ac:dyDescent="0.25">
      <c r="A4155" s="2" t="s">
        <v>15</v>
      </c>
      <c r="B4155" s="2" t="str">
        <f>"FES1162773086"</f>
        <v>FES1162773086</v>
      </c>
      <c r="C4155" s="2" t="s">
        <v>2490</v>
      </c>
      <c r="D4155" s="2">
        <v>1</v>
      </c>
      <c r="E4155" s="2" t="str">
        <f>"2170759548"</f>
        <v>2170759548</v>
      </c>
      <c r="F4155" s="2" t="s">
        <v>17</v>
      </c>
      <c r="G4155" s="2" t="s">
        <v>18</v>
      </c>
      <c r="H4155" s="2" t="s">
        <v>19</v>
      </c>
      <c r="I4155" s="2" t="s">
        <v>20</v>
      </c>
      <c r="J4155" s="2" t="s">
        <v>77</v>
      </c>
      <c r="K4155" s="2" t="s">
        <v>2520</v>
      </c>
      <c r="L4155" s="3">
        <v>0.34791666666666665</v>
      </c>
      <c r="M4155" s="2" t="s">
        <v>1764</v>
      </c>
      <c r="N4155" s="2" t="s">
        <v>500</v>
      </c>
      <c r="O4155" s="2"/>
    </row>
    <row r="4156" spans="1:15" x14ac:dyDescent="0.25">
      <c r="A4156" s="21" t="s">
        <v>15</v>
      </c>
      <c r="B4156" s="21" t="str">
        <f>"FES1162773073"</f>
        <v>FES1162773073</v>
      </c>
      <c r="C4156" s="21" t="s">
        <v>2490</v>
      </c>
      <c r="D4156" s="21">
        <v>1</v>
      </c>
      <c r="E4156" s="21" t="str">
        <f>"2170759851"</f>
        <v>2170759851</v>
      </c>
      <c r="F4156" s="21" t="s">
        <v>17</v>
      </c>
      <c r="G4156" s="21" t="s">
        <v>18</v>
      </c>
      <c r="H4156" s="21" t="s">
        <v>19</v>
      </c>
      <c r="I4156" s="21" t="s">
        <v>20</v>
      </c>
      <c r="J4156" s="21" t="s">
        <v>2565</v>
      </c>
      <c r="K4156" s="21" t="s">
        <v>2520</v>
      </c>
      <c r="L4156" s="21"/>
      <c r="M4156" s="21" t="s">
        <v>23</v>
      </c>
      <c r="N4156" s="21" t="s">
        <v>24</v>
      </c>
      <c r="O4156" s="21"/>
    </row>
    <row r="4157" spans="1:15" x14ac:dyDescent="0.25">
      <c r="A4157" s="21" t="s">
        <v>15</v>
      </c>
      <c r="B4157" s="21" t="str">
        <f>"FES1162773078"</f>
        <v>FES1162773078</v>
      </c>
      <c r="C4157" s="21" t="s">
        <v>2490</v>
      </c>
      <c r="D4157" s="21">
        <v>1</v>
      </c>
      <c r="E4157" s="21" t="str">
        <f>"2170759866"</f>
        <v>2170759866</v>
      </c>
      <c r="F4157" s="21" t="s">
        <v>17</v>
      </c>
      <c r="G4157" s="21" t="s">
        <v>18</v>
      </c>
      <c r="H4157" s="21" t="s">
        <v>88</v>
      </c>
      <c r="I4157" s="21" t="s">
        <v>109</v>
      </c>
      <c r="J4157" s="21" t="s">
        <v>766</v>
      </c>
      <c r="K4157" s="21" t="s">
        <v>2520</v>
      </c>
      <c r="L4157" s="21"/>
      <c r="M4157" s="21" t="s">
        <v>23</v>
      </c>
      <c r="N4157" s="21" t="s">
        <v>24</v>
      </c>
      <c r="O4157" s="21"/>
    </row>
    <row r="4158" spans="1:15" x14ac:dyDescent="0.25">
      <c r="A4158" s="2" t="s">
        <v>15</v>
      </c>
      <c r="B4158" s="2" t="str">
        <f>"FES1162773087"</f>
        <v>FES1162773087</v>
      </c>
      <c r="C4158" s="2" t="s">
        <v>2490</v>
      </c>
      <c r="D4158" s="2">
        <v>1</v>
      </c>
      <c r="E4158" s="2" t="str">
        <f>"2170759550"</f>
        <v>2170759550</v>
      </c>
      <c r="F4158" s="2" t="s">
        <v>17</v>
      </c>
      <c r="G4158" s="2" t="s">
        <v>18</v>
      </c>
      <c r="H4158" s="2" t="s">
        <v>19</v>
      </c>
      <c r="I4158" s="2" t="s">
        <v>20</v>
      </c>
      <c r="J4158" s="2" t="s">
        <v>77</v>
      </c>
      <c r="K4158" s="2" t="s">
        <v>2520</v>
      </c>
      <c r="L4158" s="3">
        <v>0.34791666666666665</v>
      </c>
      <c r="M4158" s="2" t="s">
        <v>1764</v>
      </c>
      <c r="N4158" s="2" t="s">
        <v>500</v>
      </c>
      <c r="O4158" s="2"/>
    </row>
    <row r="4159" spans="1:15" x14ac:dyDescent="0.25">
      <c r="A4159" s="21" t="s">
        <v>15</v>
      </c>
      <c r="B4159" s="21" t="str">
        <f>"FES1162773067"</f>
        <v>FES1162773067</v>
      </c>
      <c r="C4159" s="21" t="s">
        <v>2490</v>
      </c>
      <c r="D4159" s="21">
        <v>1</v>
      </c>
      <c r="E4159" s="21" t="str">
        <f>"2170757436"</f>
        <v>2170757436</v>
      </c>
      <c r="F4159" s="21" t="s">
        <v>17</v>
      </c>
      <c r="G4159" s="21" t="s">
        <v>18</v>
      </c>
      <c r="H4159" s="21" t="s">
        <v>25</v>
      </c>
      <c r="I4159" s="21" t="s">
        <v>26</v>
      </c>
      <c r="J4159" s="21" t="s">
        <v>455</v>
      </c>
      <c r="K4159" s="21" t="s">
        <v>2520</v>
      </c>
      <c r="L4159" s="21"/>
      <c r="M4159" s="21" t="s">
        <v>23</v>
      </c>
      <c r="N4159" s="21" t="s">
        <v>24</v>
      </c>
      <c r="O4159" s="21"/>
    </row>
    <row r="4160" spans="1:15" x14ac:dyDescent="0.25">
      <c r="A4160" s="21" t="s">
        <v>15</v>
      </c>
      <c r="B4160" s="21" t="str">
        <f>"FES1162773094"</f>
        <v>FES1162773094</v>
      </c>
      <c r="C4160" s="21" t="s">
        <v>2490</v>
      </c>
      <c r="D4160" s="21">
        <v>1</v>
      </c>
      <c r="E4160" s="21" t="str">
        <f>"2170755095"</f>
        <v>2170755095</v>
      </c>
      <c r="F4160" s="21" t="s">
        <v>17</v>
      </c>
      <c r="G4160" s="21" t="s">
        <v>18</v>
      </c>
      <c r="H4160" s="21" t="s">
        <v>18</v>
      </c>
      <c r="I4160" s="21" t="s">
        <v>57</v>
      </c>
      <c r="J4160" s="21" t="s">
        <v>103</v>
      </c>
      <c r="K4160" s="21" t="s">
        <v>2520</v>
      </c>
      <c r="L4160" s="21"/>
      <c r="M4160" s="21" t="s">
        <v>23</v>
      </c>
      <c r="N4160" s="21" t="s">
        <v>24</v>
      </c>
      <c r="O4160" s="21"/>
    </row>
    <row r="4161" spans="1:15" x14ac:dyDescent="0.25">
      <c r="A4161" s="21" t="s">
        <v>15</v>
      </c>
      <c r="B4161" s="21" t="str">
        <f>"FES1162773102"</f>
        <v>FES1162773102</v>
      </c>
      <c r="C4161" s="21" t="s">
        <v>2490</v>
      </c>
      <c r="D4161" s="21">
        <v>1</v>
      </c>
      <c r="E4161" s="21" t="str">
        <f>"2170756870"</f>
        <v>2170756870</v>
      </c>
      <c r="F4161" s="21" t="s">
        <v>17</v>
      </c>
      <c r="G4161" s="21" t="s">
        <v>18</v>
      </c>
      <c r="H4161" s="21" t="s">
        <v>25</v>
      </c>
      <c r="I4161" s="21" t="s">
        <v>26</v>
      </c>
      <c r="J4161" s="21" t="s">
        <v>27</v>
      </c>
      <c r="K4161" s="21" t="s">
        <v>2520</v>
      </c>
      <c r="L4161" s="21"/>
      <c r="M4161" s="21" t="s">
        <v>23</v>
      </c>
      <c r="N4161" s="21" t="s">
        <v>24</v>
      </c>
      <c r="O4161" s="21"/>
    </row>
    <row r="4162" spans="1:15" x14ac:dyDescent="0.25">
      <c r="A4162" s="21" t="s">
        <v>15</v>
      </c>
      <c r="B4162" s="21" t="str">
        <f>"FES1162772905"</f>
        <v>FES1162772905</v>
      </c>
      <c r="C4162" s="21" t="s">
        <v>2490</v>
      </c>
      <c r="D4162" s="21">
        <v>0</v>
      </c>
      <c r="E4162" s="21" t="str">
        <f>"2170759658"</f>
        <v>2170759658</v>
      </c>
      <c r="F4162" s="21" t="s">
        <v>17</v>
      </c>
      <c r="G4162" s="21" t="s">
        <v>18</v>
      </c>
      <c r="H4162" s="21" t="s">
        <v>18</v>
      </c>
      <c r="I4162" s="21" t="s">
        <v>57</v>
      </c>
      <c r="J4162" s="21" t="s">
        <v>1313</v>
      </c>
      <c r="K4162" s="21" t="s">
        <v>2520</v>
      </c>
      <c r="L4162" s="21"/>
      <c r="M4162" s="21" t="s">
        <v>23</v>
      </c>
      <c r="N4162" s="21" t="s">
        <v>24</v>
      </c>
      <c r="O4162" s="21"/>
    </row>
    <row r="4163" spans="1:15" x14ac:dyDescent="0.25">
      <c r="A4163" s="21" t="s">
        <v>15</v>
      </c>
      <c r="B4163" s="21" t="str">
        <f>"FES1162772927"</f>
        <v>FES1162772927</v>
      </c>
      <c r="C4163" s="21" t="s">
        <v>2490</v>
      </c>
      <c r="D4163" s="21">
        <v>0</v>
      </c>
      <c r="E4163" s="21" t="str">
        <f>"2170757705"</f>
        <v>2170757705</v>
      </c>
      <c r="F4163" s="21" t="s">
        <v>17</v>
      </c>
      <c r="G4163" s="21" t="s">
        <v>18</v>
      </c>
      <c r="H4163" s="21" t="s">
        <v>25</v>
      </c>
      <c r="I4163" s="21" t="s">
        <v>361</v>
      </c>
      <c r="J4163" s="21" t="s">
        <v>1400</v>
      </c>
      <c r="K4163" s="21" t="s">
        <v>2520</v>
      </c>
      <c r="L4163" s="21"/>
      <c r="M4163" s="21" t="s">
        <v>23</v>
      </c>
      <c r="N4163" s="21" t="s">
        <v>24</v>
      </c>
      <c r="O4163" s="21"/>
    </row>
    <row r="4164" spans="1:15" x14ac:dyDescent="0.25">
      <c r="A4164" s="21" t="s">
        <v>15</v>
      </c>
      <c r="B4164" s="21" t="str">
        <f>"FES1162772961"</f>
        <v>FES1162772961</v>
      </c>
      <c r="C4164" s="21" t="s">
        <v>2490</v>
      </c>
      <c r="D4164" s="21">
        <v>0</v>
      </c>
      <c r="E4164" s="21" t="str">
        <f>"2170759715"</f>
        <v>2170759715</v>
      </c>
      <c r="F4164" s="21" t="s">
        <v>17</v>
      </c>
      <c r="G4164" s="21" t="s">
        <v>18</v>
      </c>
      <c r="H4164" s="21" t="s">
        <v>30</v>
      </c>
      <c r="I4164" s="21" t="s">
        <v>147</v>
      </c>
      <c r="J4164" s="21" t="s">
        <v>148</v>
      </c>
      <c r="K4164" s="21" t="s">
        <v>2520</v>
      </c>
      <c r="L4164" s="21"/>
      <c r="M4164" s="21" t="s">
        <v>23</v>
      </c>
      <c r="N4164" s="21" t="s">
        <v>24</v>
      </c>
      <c r="O4164" s="21"/>
    </row>
    <row r="4165" spans="1:15" x14ac:dyDescent="0.25">
      <c r="A4165" s="2" t="s">
        <v>15</v>
      </c>
      <c r="B4165" s="2" t="str">
        <f>"FES1162772899"</f>
        <v>FES1162772899</v>
      </c>
      <c r="C4165" s="2" t="s">
        <v>2490</v>
      </c>
      <c r="D4165" s="2">
        <v>0</v>
      </c>
      <c r="E4165" s="2" t="str">
        <f>"2170759655"</f>
        <v>2170759655</v>
      </c>
      <c r="F4165" s="2" t="s">
        <v>17</v>
      </c>
      <c r="G4165" s="2" t="s">
        <v>18</v>
      </c>
      <c r="H4165" s="2" t="s">
        <v>18</v>
      </c>
      <c r="I4165" s="2" t="s">
        <v>57</v>
      </c>
      <c r="J4165" s="2" t="s">
        <v>910</v>
      </c>
      <c r="K4165" s="2" t="s">
        <v>2520</v>
      </c>
      <c r="L4165" s="3">
        <v>0.34583333333333338</v>
      </c>
      <c r="M4165" s="2" t="s">
        <v>2046</v>
      </c>
      <c r="N4165" s="2" t="s">
        <v>500</v>
      </c>
      <c r="O4165" s="2"/>
    </row>
    <row r="4166" spans="1:15" x14ac:dyDescent="0.25">
      <c r="A4166" s="21" t="s">
        <v>15</v>
      </c>
      <c r="B4166" s="21" t="str">
        <f>"FES1162772972"</f>
        <v>FES1162772972</v>
      </c>
      <c r="C4166" s="21" t="s">
        <v>2490</v>
      </c>
      <c r="D4166" s="21">
        <v>0</v>
      </c>
      <c r="E4166" s="21" t="str">
        <f>"2170759726"</f>
        <v>2170759726</v>
      </c>
      <c r="F4166" s="21" t="s">
        <v>17</v>
      </c>
      <c r="G4166" s="21" t="s">
        <v>18</v>
      </c>
      <c r="H4166" s="21" t="s">
        <v>25</v>
      </c>
      <c r="I4166" s="21" t="s">
        <v>26</v>
      </c>
      <c r="J4166" s="21" t="s">
        <v>75</v>
      </c>
      <c r="K4166" s="21" t="s">
        <v>2520</v>
      </c>
      <c r="L4166" s="21"/>
      <c r="M4166" s="21" t="s">
        <v>23</v>
      </c>
      <c r="N4166" s="21" t="s">
        <v>24</v>
      </c>
      <c r="O4166" s="21"/>
    </row>
    <row r="4167" spans="1:15" x14ac:dyDescent="0.25">
      <c r="A4167" s="2" t="s">
        <v>15</v>
      </c>
      <c r="B4167" s="2" t="str">
        <f>"FES1162772849"</f>
        <v>FES1162772849</v>
      </c>
      <c r="C4167" s="2" t="s">
        <v>2490</v>
      </c>
      <c r="D4167" s="2">
        <v>0</v>
      </c>
      <c r="E4167" s="2" t="str">
        <f>"2170757807"</f>
        <v>2170757807</v>
      </c>
      <c r="F4167" s="2" t="s">
        <v>17</v>
      </c>
      <c r="G4167" s="2" t="s">
        <v>18</v>
      </c>
      <c r="H4167" s="2" t="s">
        <v>18</v>
      </c>
      <c r="I4167" s="2" t="s">
        <v>46</v>
      </c>
      <c r="J4167" s="2" t="s">
        <v>436</v>
      </c>
      <c r="K4167" s="2" t="s">
        <v>2520</v>
      </c>
      <c r="L4167" s="3">
        <v>0.3354166666666667</v>
      </c>
      <c r="M4167" s="2" t="s">
        <v>777</v>
      </c>
      <c r="N4167" s="2" t="s">
        <v>500</v>
      </c>
      <c r="O4167" s="2"/>
    </row>
    <row r="4168" spans="1:15" x14ac:dyDescent="0.25">
      <c r="A4168" s="21" t="s">
        <v>15</v>
      </c>
      <c r="B4168" s="21" t="str">
        <f>"FES1162772683"</f>
        <v>FES1162772683</v>
      </c>
      <c r="C4168" s="21" t="s">
        <v>2490</v>
      </c>
      <c r="D4168" s="21">
        <v>1</v>
      </c>
      <c r="E4168" s="21" t="str">
        <f>"2170759567"</f>
        <v>2170759567</v>
      </c>
      <c r="F4168" s="21" t="s">
        <v>17</v>
      </c>
      <c r="G4168" s="21" t="s">
        <v>18</v>
      </c>
      <c r="H4168" s="21" t="s">
        <v>18</v>
      </c>
      <c r="I4168" s="21" t="s">
        <v>290</v>
      </c>
      <c r="J4168" s="21" t="s">
        <v>420</v>
      </c>
      <c r="K4168" s="21" t="s">
        <v>2520</v>
      </c>
      <c r="L4168" s="21"/>
      <c r="M4168" s="21" t="s">
        <v>23</v>
      </c>
      <c r="N4168" s="21" t="s">
        <v>24</v>
      </c>
      <c r="O4168" s="21"/>
    </row>
    <row r="4169" spans="1:15" x14ac:dyDescent="0.25">
      <c r="A4169" s="21" t="s">
        <v>15</v>
      </c>
      <c r="B4169" s="21" t="str">
        <f>"FES1162772948"</f>
        <v>FES1162772948</v>
      </c>
      <c r="C4169" s="21" t="s">
        <v>2490</v>
      </c>
      <c r="D4169" s="21">
        <v>1</v>
      </c>
      <c r="E4169" s="21" t="str">
        <f>"2170759700"</f>
        <v>2170759700</v>
      </c>
      <c r="F4169" s="21" t="s">
        <v>2443</v>
      </c>
      <c r="G4169" s="21" t="s">
        <v>18</v>
      </c>
      <c r="H4169" s="21" t="s">
        <v>25</v>
      </c>
      <c r="I4169" s="21" t="s">
        <v>345</v>
      </c>
      <c r="J4169" s="21" t="s">
        <v>1429</v>
      </c>
      <c r="K4169" s="21" t="s">
        <v>2520</v>
      </c>
      <c r="L4169" s="21"/>
      <c r="M4169" s="21" t="s">
        <v>23</v>
      </c>
      <c r="N4169" s="21" t="s">
        <v>24</v>
      </c>
      <c r="O4169" s="21"/>
    </row>
    <row r="4170" spans="1:15" x14ac:dyDescent="0.25">
      <c r="A4170" s="21" t="s">
        <v>15</v>
      </c>
      <c r="B4170" s="21" t="str">
        <f>"FES1162772708"</f>
        <v>FES1162772708</v>
      </c>
      <c r="C4170" s="21" t="s">
        <v>2490</v>
      </c>
      <c r="D4170" s="21">
        <v>1</v>
      </c>
      <c r="E4170" s="21" t="str">
        <f>"2170756258"</f>
        <v>2170756258</v>
      </c>
      <c r="F4170" s="21" t="s">
        <v>17</v>
      </c>
      <c r="G4170" s="21" t="s">
        <v>18</v>
      </c>
      <c r="H4170" s="21" t="s">
        <v>18</v>
      </c>
      <c r="I4170" s="21" t="s">
        <v>46</v>
      </c>
      <c r="J4170" s="21" t="s">
        <v>124</v>
      </c>
      <c r="K4170" s="21" t="s">
        <v>2520</v>
      </c>
      <c r="L4170" s="21"/>
      <c r="M4170" s="21" t="s">
        <v>23</v>
      </c>
      <c r="N4170" s="21" t="s">
        <v>24</v>
      </c>
      <c r="O4170" s="21"/>
    </row>
    <row r="4171" spans="1:15" x14ac:dyDescent="0.25">
      <c r="A4171" s="21" t="s">
        <v>15</v>
      </c>
      <c r="B4171" s="21" t="str">
        <f>"FES1162772828"</f>
        <v>FES1162772828</v>
      </c>
      <c r="C4171" s="21" t="s">
        <v>2490</v>
      </c>
      <c r="D4171" s="21">
        <v>1</v>
      </c>
      <c r="E4171" s="21" t="str">
        <f>"2170757622"</f>
        <v>2170757622</v>
      </c>
      <c r="F4171" s="21" t="s">
        <v>17</v>
      </c>
      <c r="G4171" s="21" t="s">
        <v>18</v>
      </c>
      <c r="H4171" s="21" t="s">
        <v>18</v>
      </c>
      <c r="I4171" s="21" t="s">
        <v>46</v>
      </c>
      <c r="J4171" s="21" t="s">
        <v>426</v>
      </c>
      <c r="K4171" s="21" t="s">
        <v>2520</v>
      </c>
      <c r="L4171" s="21"/>
      <c r="M4171" s="21" t="s">
        <v>23</v>
      </c>
      <c r="N4171" s="21" t="s">
        <v>24</v>
      </c>
      <c r="O4171" s="21"/>
    </row>
    <row r="4172" spans="1:15" x14ac:dyDescent="0.25">
      <c r="A4172" s="21" t="s">
        <v>15</v>
      </c>
      <c r="B4172" s="21" t="str">
        <f>"FES1162772803"</f>
        <v>FES1162772803</v>
      </c>
      <c r="C4172" s="21" t="s">
        <v>2490</v>
      </c>
      <c r="D4172" s="21">
        <v>1</v>
      </c>
      <c r="E4172" s="21" t="str">
        <f>"2170758121"</f>
        <v>2170758121</v>
      </c>
      <c r="F4172" s="21" t="s">
        <v>17</v>
      </c>
      <c r="G4172" s="21" t="s">
        <v>18</v>
      </c>
      <c r="H4172" s="21" t="s">
        <v>18</v>
      </c>
      <c r="I4172" s="21" t="s">
        <v>46</v>
      </c>
      <c r="J4172" s="21" t="s">
        <v>1414</v>
      </c>
      <c r="K4172" s="21" t="s">
        <v>2520</v>
      </c>
      <c r="L4172" s="21"/>
      <c r="M4172" s="21" t="s">
        <v>23</v>
      </c>
      <c r="N4172" s="21" t="s">
        <v>24</v>
      </c>
      <c r="O4172" s="21"/>
    </row>
    <row r="4173" spans="1:15" x14ac:dyDescent="0.25">
      <c r="A4173" s="21" t="s">
        <v>15</v>
      </c>
      <c r="B4173" s="21" t="str">
        <f>"FES1162772873"</f>
        <v>FES1162772873</v>
      </c>
      <c r="C4173" s="21" t="s">
        <v>2490</v>
      </c>
      <c r="D4173" s="21">
        <v>1</v>
      </c>
      <c r="E4173" s="21" t="str">
        <f>"2170758063"</f>
        <v>2170758063</v>
      </c>
      <c r="F4173" s="21" t="s">
        <v>17</v>
      </c>
      <c r="G4173" s="21" t="s">
        <v>18</v>
      </c>
      <c r="H4173" s="21" t="s">
        <v>18</v>
      </c>
      <c r="I4173" s="21" t="s">
        <v>57</v>
      </c>
      <c r="J4173" s="21" t="s">
        <v>475</v>
      </c>
      <c r="K4173" s="21" t="s">
        <v>2520</v>
      </c>
      <c r="L4173" s="21"/>
      <c r="M4173" s="21" t="s">
        <v>23</v>
      </c>
      <c r="N4173" s="21" t="s">
        <v>24</v>
      </c>
      <c r="O4173" s="21"/>
    </row>
    <row r="4174" spans="1:15" x14ac:dyDescent="0.25">
      <c r="A4174" s="21" t="s">
        <v>15</v>
      </c>
      <c r="B4174" s="21" t="str">
        <f>"FES1162772798"</f>
        <v>FES1162772798</v>
      </c>
      <c r="C4174" s="21" t="s">
        <v>2490</v>
      </c>
      <c r="D4174" s="21">
        <v>1</v>
      </c>
      <c r="E4174" s="21" t="str">
        <f>"2170758051"</f>
        <v>2170758051</v>
      </c>
      <c r="F4174" s="21" t="s">
        <v>17</v>
      </c>
      <c r="G4174" s="21" t="s">
        <v>18</v>
      </c>
      <c r="H4174" s="21" t="s">
        <v>18</v>
      </c>
      <c r="I4174" s="21" t="s">
        <v>163</v>
      </c>
      <c r="J4174" s="21" t="s">
        <v>912</v>
      </c>
      <c r="K4174" s="21" t="s">
        <v>2520</v>
      </c>
      <c r="L4174" s="21"/>
      <c r="M4174" s="21" t="s">
        <v>23</v>
      </c>
      <c r="N4174" s="21" t="s">
        <v>24</v>
      </c>
      <c r="O4174" s="21"/>
    </row>
    <row r="4175" spans="1:15" x14ac:dyDescent="0.25">
      <c r="A4175" s="21" t="s">
        <v>15</v>
      </c>
      <c r="B4175" s="21" t="str">
        <f>"FES1162772916"</f>
        <v>FES1162772916</v>
      </c>
      <c r="C4175" s="21" t="s">
        <v>2490</v>
      </c>
      <c r="D4175" s="21">
        <v>1</v>
      </c>
      <c r="E4175" s="21" t="str">
        <f>"2170759447"</f>
        <v>2170759447</v>
      </c>
      <c r="F4175" s="21" t="s">
        <v>17</v>
      </c>
      <c r="G4175" s="21" t="s">
        <v>18</v>
      </c>
      <c r="H4175" s="21" t="s">
        <v>88</v>
      </c>
      <c r="I4175" s="21" t="s">
        <v>109</v>
      </c>
      <c r="J4175" s="21" t="s">
        <v>452</v>
      </c>
      <c r="K4175" s="21" t="s">
        <v>2520</v>
      </c>
      <c r="L4175" s="21"/>
      <c r="M4175" s="21" t="s">
        <v>23</v>
      </c>
      <c r="N4175" s="21" t="s">
        <v>24</v>
      </c>
      <c r="O4175" s="21"/>
    </row>
    <row r="4176" spans="1:15" x14ac:dyDescent="0.25">
      <c r="A4176" s="21" t="s">
        <v>15</v>
      </c>
      <c r="B4176" s="21" t="str">
        <f>"FES1162772926"</f>
        <v>FES1162772926</v>
      </c>
      <c r="C4176" s="21" t="s">
        <v>2490</v>
      </c>
      <c r="D4176" s="21">
        <v>1</v>
      </c>
      <c r="E4176" s="21" t="str">
        <f>"2170757404"</f>
        <v>2170757404</v>
      </c>
      <c r="F4176" s="21" t="s">
        <v>17</v>
      </c>
      <c r="G4176" s="21" t="s">
        <v>18</v>
      </c>
      <c r="H4176" s="21" t="s">
        <v>25</v>
      </c>
      <c r="I4176" s="21" t="s">
        <v>39</v>
      </c>
      <c r="J4176" s="21" t="s">
        <v>1798</v>
      </c>
      <c r="K4176" s="21" t="s">
        <v>2520</v>
      </c>
      <c r="L4176" s="21"/>
      <c r="M4176" s="21" t="s">
        <v>23</v>
      </c>
      <c r="N4176" s="21" t="s">
        <v>24</v>
      </c>
      <c r="O4176" s="21"/>
    </row>
    <row r="4177" spans="1:15" x14ac:dyDescent="0.25">
      <c r="A4177" s="2" t="s">
        <v>15</v>
      </c>
      <c r="B4177" s="2" t="str">
        <f>"FES1162772768"</f>
        <v>FES1162772768</v>
      </c>
      <c r="C4177" s="2" t="s">
        <v>2490</v>
      </c>
      <c r="D4177" s="2">
        <v>1</v>
      </c>
      <c r="E4177" s="2" t="str">
        <f>"21707587749"</f>
        <v>21707587749</v>
      </c>
      <c r="F4177" s="2" t="s">
        <v>17</v>
      </c>
      <c r="G4177" s="2" t="s">
        <v>18</v>
      </c>
      <c r="H4177" s="2" t="s">
        <v>36</v>
      </c>
      <c r="I4177" s="2" t="s">
        <v>37</v>
      </c>
      <c r="J4177" s="2" t="s">
        <v>378</v>
      </c>
      <c r="K4177" s="2" t="s">
        <v>2520</v>
      </c>
      <c r="L4177" s="3">
        <v>0.33819444444444446</v>
      </c>
      <c r="M4177" s="2" t="s">
        <v>408</v>
      </c>
      <c r="N4177" s="2" t="s">
        <v>500</v>
      </c>
      <c r="O4177" s="2"/>
    </row>
    <row r="4178" spans="1:15" x14ac:dyDescent="0.25">
      <c r="A4178" s="21" t="s">
        <v>15</v>
      </c>
      <c r="B4178" s="21" t="str">
        <f>"FES1162772917"</f>
        <v>FES1162772917</v>
      </c>
      <c r="C4178" s="21" t="s">
        <v>2490</v>
      </c>
      <c r="D4178" s="21">
        <v>1</v>
      </c>
      <c r="E4178" s="21" t="str">
        <f>"2170759668"</f>
        <v>2170759668</v>
      </c>
      <c r="F4178" s="21" t="s">
        <v>17</v>
      </c>
      <c r="G4178" s="21" t="s">
        <v>18</v>
      </c>
      <c r="H4178" s="21" t="s">
        <v>25</v>
      </c>
      <c r="I4178" s="21" t="s">
        <v>26</v>
      </c>
      <c r="J4178" s="21" t="s">
        <v>75</v>
      </c>
      <c r="K4178" s="21" t="s">
        <v>2520</v>
      </c>
      <c r="L4178" s="21"/>
      <c r="M4178" s="21" t="s">
        <v>23</v>
      </c>
      <c r="N4178" s="21" t="s">
        <v>24</v>
      </c>
      <c r="O4178" s="21"/>
    </row>
    <row r="4179" spans="1:15" x14ac:dyDescent="0.25">
      <c r="A4179" s="21" t="s">
        <v>15</v>
      </c>
      <c r="B4179" s="21" t="str">
        <f>"FES1162772733"</f>
        <v>FES1162772733</v>
      </c>
      <c r="C4179" s="21" t="s">
        <v>2490</v>
      </c>
      <c r="D4179" s="21">
        <v>1</v>
      </c>
      <c r="E4179" s="21" t="str">
        <f>"2170759609"</f>
        <v>2170759609</v>
      </c>
      <c r="F4179" s="21" t="s">
        <v>17</v>
      </c>
      <c r="G4179" s="21" t="s">
        <v>18</v>
      </c>
      <c r="H4179" s="21" t="s">
        <v>36</v>
      </c>
      <c r="I4179" s="21" t="s">
        <v>134</v>
      </c>
      <c r="J4179" s="21" t="s">
        <v>135</v>
      </c>
      <c r="K4179" s="21" t="s">
        <v>2520</v>
      </c>
      <c r="L4179" s="21"/>
      <c r="M4179" s="21" t="s">
        <v>23</v>
      </c>
      <c r="N4179" s="21" t="s">
        <v>24</v>
      </c>
      <c r="O4179" s="21"/>
    </row>
    <row r="4180" spans="1:15" x14ac:dyDescent="0.25">
      <c r="A4180" s="21" t="s">
        <v>15</v>
      </c>
      <c r="B4180" s="21" t="str">
        <f>"FES1162772780"</f>
        <v>FES1162772780</v>
      </c>
      <c r="C4180" s="21" t="s">
        <v>2490</v>
      </c>
      <c r="D4180" s="21">
        <v>1</v>
      </c>
      <c r="E4180" s="21" t="str">
        <f>"2170757882"</f>
        <v>2170757882</v>
      </c>
      <c r="F4180" s="21" t="s">
        <v>17</v>
      </c>
      <c r="G4180" s="21" t="s">
        <v>18</v>
      </c>
      <c r="H4180" s="21" t="s">
        <v>36</v>
      </c>
      <c r="I4180" s="21" t="s">
        <v>67</v>
      </c>
      <c r="J4180" s="21" t="s">
        <v>68</v>
      </c>
      <c r="K4180" s="21" t="s">
        <v>2520</v>
      </c>
      <c r="L4180" s="21"/>
      <c r="M4180" s="21" t="s">
        <v>23</v>
      </c>
      <c r="N4180" s="21" t="s">
        <v>24</v>
      </c>
      <c r="O4180" s="21"/>
    </row>
    <row r="4181" spans="1:15" x14ac:dyDescent="0.25">
      <c r="A4181" s="21" t="s">
        <v>15</v>
      </c>
      <c r="B4181" s="21" t="str">
        <f>"FES1162772907"</f>
        <v>FES1162772907</v>
      </c>
      <c r="C4181" s="21" t="s">
        <v>2490</v>
      </c>
      <c r="D4181" s="21">
        <v>1</v>
      </c>
      <c r="E4181" s="21" t="str">
        <f>"2170759660"</f>
        <v>2170759660</v>
      </c>
      <c r="F4181" s="21" t="s">
        <v>17</v>
      </c>
      <c r="G4181" s="21" t="s">
        <v>18</v>
      </c>
      <c r="H4181" s="21" t="s">
        <v>25</v>
      </c>
      <c r="I4181" s="21" t="s">
        <v>125</v>
      </c>
      <c r="J4181" s="21" t="s">
        <v>126</v>
      </c>
      <c r="K4181" s="21" t="s">
        <v>2520</v>
      </c>
      <c r="L4181" s="21"/>
      <c r="M4181" s="21" t="s">
        <v>23</v>
      </c>
      <c r="N4181" s="21" t="s">
        <v>24</v>
      </c>
      <c r="O4181" s="21"/>
    </row>
    <row r="4182" spans="1:15" x14ac:dyDescent="0.25">
      <c r="A4182" s="21" t="s">
        <v>15</v>
      </c>
      <c r="B4182" s="21" t="str">
        <f>"FES1162772742"</f>
        <v>FES1162772742</v>
      </c>
      <c r="C4182" s="21" t="s">
        <v>2490</v>
      </c>
      <c r="D4182" s="21">
        <v>1</v>
      </c>
      <c r="E4182" s="21" t="str">
        <f>"2170754965"</f>
        <v>2170754965</v>
      </c>
      <c r="F4182" s="21" t="s">
        <v>17</v>
      </c>
      <c r="G4182" s="21" t="s">
        <v>18</v>
      </c>
      <c r="H4182" s="21" t="s">
        <v>36</v>
      </c>
      <c r="I4182" s="21" t="s">
        <v>37</v>
      </c>
      <c r="J4182" s="21" t="s">
        <v>272</v>
      </c>
      <c r="K4182" s="21" t="s">
        <v>2520</v>
      </c>
      <c r="L4182" s="21"/>
      <c r="M4182" s="21" t="s">
        <v>23</v>
      </c>
      <c r="N4182" s="21" t="s">
        <v>24</v>
      </c>
      <c r="O4182" s="21"/>
    </row>
    <row r="4183" spans="1:15" x14ac:dyDescent="0.25">
      <c r="A4183" s="21" t="s">
        <v>15</v>
      </c>
      <c r="B4183" s="21" t="str">
        <f>"FES1162772712"</f>
        <v>FES1162772712</v>
      </c>
      <c r="C4183" s="21" t="s">
        <v>2490</v>
      </c>
      <c r="D4183" s="21">
        <v>1</v>
      </c>
      <c r="E4183" s="21" t="str">
        <f>"2170757002"</f>
        <v>2170757002</v>
      </c>
      <c r="F4183" s="21" t="s">
        <v>17</v>
      </c>
      <c r="G4183" s="21" t="s">
        <v>18</v>
      </c>
      <c r="H4183" s="21" t="s">
        <v>36</v>
      </c>
      <c r="I4183" s="21" t="s">
        <v>67</v>
      </c>
      <c r="J4183" s="21" t="s">
        <v>146</v>
      </c>
      <c r="K4183" s="21" t="s">
        <v>2520</v>
      </c>
      <c r="L4183" s="21"/>
      <c r="M4183" s="21" t="s">
        <v>23</v>
      </c>
      <c r="N4183" s="21" t="s">
        <v>24</v>
      </c>
      <c r="O4183" s="21"/>
    </row>
    <row r="4184" spans="1:15" x14ac:dyDescent="0.25">
      <c r="A4184" s="21" t="s">
        <v>15</v>
      </c>
      <c r="B4184" s="21" t="str">
        <f>"FES1162772913"</f>
        <v>FES1162772913</v>
      </c>
      <c r="C4184" s="21" t="s">
        <v>2490</v>
      </c>
      <c r="D4184" s="21">
        <v>1</v>
      </c>
      <c r="E4184" s="21" t="str">
        <f>"2170757424"</f>
        <v>2170757424</v>
      </c>
      <c r="F4184" s="21" t="s">
        <v>2443</v>
      </c>
      <c r="G4184" s="21" t="s">
        <v>18</v>
      </c>
      <c r="H4184" s="21" t="s">
        <v>25</v>
      </c>
      <c r="I4184" s="21" t="s">
        <v>26</v>
      </c>
      <c r="J4184" s="21" t="s">
        <v>27</v>
      </c>
      <c r="K4184" s="21" t="s">
        <v>2520</v>
      </c>
      <c r="L4184" s="21"/>
      <c r="M4184" s="21" t="s">
        <v>23</v>
      </c>
      <c r="N4184" s="21" t="s">
        <v>24</v>
      </c>
      <c r="O4184" s="21"/>
    </row>
    <row r="4185" spans="1:15" x14ac:dyDescent="0.25">
      <c r="A4185" s="21" t="s">
        <v>15</v>
      </c>
      <c r="B4185" s="21" t="str">
        <f>"FES1162772985"</f>
        <v>FES1162772985</v>
      </c>
      <c r="C4185" s="21" t="s">
        <v>2490</v>
      </c>
      <c r="D4185" s="21">
        <v>0</v>
      </c>
      <c r="E4185" s="21" t="str">
        <f>"2170759757"</f>
        <v>2170759757</v>
      </c>
      <c r="F4185" s="21" t="s">
        <v>17</v>
      </c>
      <c r="G4185" s="21" t="s">
        <v>18</v>
      </c>
      <c r="H4185" s="21" t="s">
        <v>18</v>
      </c>
      <c r="I4185" s="21" t="s">
        <v>105</v>
      </c>
      <c r="J4185" s="21" t="s">
        <v>341</v>
      </c>
      <c r="K4185" s="21" t="s">
        <v>2520</v>
      </c>
      <c r="L4185" s="21"/>
      <c r="M4185" s="21" t="s">
        <v>23</v>
      </c>
      <c r="N4185" s="21" t="s">
        <v>24</v>
      </c>
      <c r="O4185" s="21"/>
    </row>
    <row r="4186" spans="1:15" x14ac:dyDescent="0.25">
      <c r="A4186" s="21" t="s">
        <v>15</v>
      </c>
      <c r="B4186" s="21" t="str">
        <f>"FES1162772983"</f>
        <v>FES1162772983</v>
      </c>
      <c r="C4186" s="21" t="s">
        <v>2490</v>
      </c>
      <c r="D4186" s="21">
        <v>0</v>
      </c>
      <c r="E4186" s="21" t="str">
        <f>"2170759751"</f>
        <v>2170759751</v>
      </c>
      <c r="F4186" s="21" t="s">
        <v>17</v>
      </c>
      <c r="G4186" s="21" t="s">
        <v>18</v>
      </c>
      <c r="H4186" s="21" t="s">
        <v>19</v>
      </c>
      <c r="I4186" s="21" t="s">
        <v>20</v>
      </c>
      <c r="J4186" s="21" t="s">
        <v>21</v>
      </c>
      <c r="K4186" s="21" t="s">
        <v>2520</v>
      </c>
      <c r="L4186" s="21"/>
      <c r="M4186" s="21" t="s">
        <v>23</v>
      </c>
      <c r="N4186" s="21" t="s">
        <v>24</v>
      </c>
      <c r="O4186" s="21"/>
    </row>
    <row r="4187" spans="1:15" x14ac:dyDescent="0.25">
      <c r="A4187" s="21" t="s">
        <v>15</v>
      </c>
      <c r="B4187" s="21" t="str">
        <f>"FES1162772969"</f>
        <v>FES1162772969</v>
      </c>
      <c r="C4187" s="21" t="s">
        <v>2490</v>
      </c>
      <c r="D4187" s="21">
        <v>0</v>
      </c>
      <c r="E4187" s="21" t="str">
        <f>"2170759692"</f>
        <v>2170759692</v>
      </c>
      <c r="F4187" s="21" t="s">
        <v>17</v>
      </c>
      <c r="G4187" s="21" t="s">
        <v>18</v>
      </c>
      <c r="H4187" s="21" t="s">
        <v>25</v>
      </c>
      <c r="I4187" s="21" t="s">
        <v>26</v>
      </c>
      <c r="J4187" s="21" t="s">
        <v>1020</v>
      </c>
      <c r="K4187" s="21" t="s">
        <v>2520</v>
      </c>
      <c r="L4187" s="21"/>
      <c r="M4187" s="21" t="s">
        <v>23</v>
      </c>
      <c r="N4187" s="21" t="s">
        <v>24</v>
      </c>
      <c r="O4187" s="21"/>
    </row>
    <row r="4188" spans="1:15" x14ac:dyDescent="0.25">
      <c r="A4188" s="21" t="s">
        <v>15</v>
      </c>
      <c r="B4188" s="21" t="str">
        <f>"FES1162772994"</f>
        <v>FES1162772994</v>
      </c>
      <c r="C4188" s="21" t="s">
        <v>2490</v>
      </c>
      <c r="D4188" s="21">
        <v>0</v>
      </c>
      <c r="E4188" s="21" t="str">
        <f>"2170759763"</f>
        <v>2170759763</v>
      </c>
      <c r="F4188" s="21" t="s">
        <v>17</v>
      </c>
      <c r="G4188" s="21" t="s">
        <v>18</v>
      </c>
      <c r="H4188" s="21" t="s">
        <v>25</v>
      </c>
      <c r="I4188" s="21" t="s">
        <v>125</v>
      </c>
      <c r="J4188" s="21" t="s">
        <v>126</v>
      </c>
      <c r="K4188" s="21" t="s">
        <v>2520</v>
      </c>
      <c r="L4188" s="21"/>
      <c r="M4188" s="21" t="s">
        <v>23</v>
      </c>
      <c r="N4188" s="21" t="s">
        <v>24</v>
      </c>
      <c r="O4188" s="21"/>
    </row>
    <row r="4189" spans="1:15" x14ac:dyDescent="0.25">
      <c r="A4189" s="2" t="s">
        <v>15</v>
      </c>
      <c r="B4189" s="2" t="str">
        <f>"FES1162772941"</f>
        <v>FES1162772941</v>
      </c>
      <c r="C4189" s="2" t="s">
        <v>2490</v>
      </c>
      <c r="D4189" s="2">
        <v>0</v>
      </c>
      <c r="E4189" s="2" t="str">
        <f>"2170759687"</f>
        <v>2170759687</v>
      </c>
      <c r="F4189" s="2" t="s">
        <v>17</v>
      </c>
      <c r="G4189" s="2" t="s">
        <v>18</v>
      </c>
      <c r="H4189" s="2" t="s">
        <v>18</v>
      </c>
      <c r="I4189" s="2" t="s">
        <v>46</v>
      </c>
      <c r="J4189" s="2" t="s">
        <v>2566</v>
      </c>
      <c r="K4189" s="2" t="s">
        <v>2520</v>
      </c>
      <c r="L4189" s="3">
        <v>0.35555555555555557</v>
      </c>
      <c r="M4189" s="2" t="s">
        <v>2567</v>
      </c>
      <c r="N4189" s="2" t="s">
        <v>500</v>
      </c>
      <c r="O4189" s="2"/>
    </row>
    <row r="4190" spans="1:15" x14ac:dyDescent="0.25">
      <c r="A4190" s="21" t="s">
        <v>15</v>
      </c>
      <c r="B4190" s="21" t="str">
        <f>"FES1162772977"</f>
        <v>FES1162772977</v>
      </c>
      <c r="C4190" s="21" t="s">
        <v>2490</v>
      </c>
      <c r="D4190" s="21">
        <v>0</v>
      </c>
      <c r="E4190" s="21" t="str">
        <f>"2170759737"</f>
        <v>2170759737</v>
      </c>
      <c r="F4190" s="21" t="s">
        <v>17</v>
      </c>
      <c r="G4190" s="21" t="s">
        <v>18</v>
      </c>
      <c r="H4190" s="21" t="s">
        <v>18</v>
      </c>
      <c r="I4190" s="21" t="s">
        <v>82</v>
      </c>
      <c r="J4190" s="21" t="s">
        <v>83</v>
      </c>
      <c r="K4190" s="21" t="s">
        <v>2520</v>
      </c>
      <c r="L4190" s="21"/>
      <c r="M4190" s="21" t="s">
        <v>23</v>
      </c>
      <c r="N4190" s="21" t="s">
        <v>24</v>
      </c>
      <c r="O4190" s="21"/>
    </row>
    <row r="4191" spans="1:15" x14ac:dyDescent="0.25">
      <c r="A4191" s="21" t="s">
        <v>15</v>
      </c>
      <c r="B4191" s="21" t="str">
        <f>"FES1162772962"</f>
        <v>FES1162772962</v>
      </c>
      <c r="C4191" s="21" t="s">
        <v>2490</v>
      </c>
      <c r="D4191" s="21">
        <v>0</v>
      </c>
      <c r="E4191" s="21" t="str">
        <f>"2170759716"</f>
        <v>2170759716</v>
      </c>
      <c r="F4191" s="21" t="s">
        <v>17</v>
      </c>
      <c r="G4191" s="21" t="s">
        <v>18</v>
      </c>
      <c r="H4191" s="21" t="s">
        <v>18</v>
      </c>
      <c r="I4191" s="21" t="s">
        <v>1664</v>
      </c>
      <c r="J4191" s="21" t="s">
        <v>2568</v>
      </c>
      <c r="K4191" s="21" t="s">
        <v>2520</v>
      </c>
      <c r="L4191" s="21"/>
      <c r="M4191" s="21" t="s">
        <v>23</v>
      </c>
      <c r="N4191" s="21" t="s">
        <v>24</v>
      </c>
      <c r="O4191" s="21"/>
    </row>
    <row r="4192" spans="1:15" x14ac:dyDescent="0.25">
      <c r="A4192" s="21" t="s">
        <v>15</v>
      </c>
      <c r="B4192" s="21" t="str">
        <f>"FES1162772919"</f>
        <v>FES1162772919</v>
      </c>
      <c r="C4192" s="21" t="s">
        <v>2490</v>
      </c>
      <c r="D4192" s="21">
        <v>0</v>
      </c>
      <c r="E4192" s="21" t="str">
        <f>"2170759675"</f>
        <v>2170759675</v>
      </c>
      <c r="F4192" s="21" t="s">
        <v>17</v>
      </c>
      <c r="G4192" s="21" t="s">
        <v>18</v>
      </c>
      <c r="H4192" s="21" t="s">
        <v>19</v>
      </c>
      <c r="I4192" s="21" t="s">
        <v>20</v>
      </c>
      <c r="J4192" s="21" t="s">
        <v>2374</v>
      </c>
      <c r="K4192" s="21" t="s">
        <v>2520</v>
      </c>
      <c r="L4192" s="21"/>
      <c r="M4192" s="21" t="s">
        <v>23</v>
      </c>
      <c r="N4192" s="21" t="s">
        <v>24</v>
      </c>
      <c r="O4192" s="21"/>
    </row>
    <row r="4193" spans="1:15" x14ac:dyDescent="0.25">
      <c r="A4193" s="21" t="s">
        <v>15</v>
      </c>
      <c r="B4193" s="21" t="str">
        <f>"FES1162772957"</f>
        <v>FES1162772957</v>
      </c>
      <c r="C4193" s="21" t="s">
        <v>2490</v>
      </c>
      <c r="D4193" s="21">
        <v>0</v>
      </c>
      <c r="E4193" s="21" t="str">
        <f>"2170759710"</f>
        <v>2170759710</v>
      </c>
      <c r="F4193" s="21" t="s">
        <v>17</v>
      </c>
      <c r="G4193" s="21" t="s">
        <v>18</v>
      </c>
      <c r="H4193" s="21" t="s">
        <v>25</v>
      </c>
      <c r="I4193" s="21" t="s">
        <v>26</v>
      </c>
      <c r="J4193" s="21" t="s">
        <v>1442</v>
      </c>
      <c r="K4193" s="21" t="s">
        <v>2520</v>
      </c>
      <c r="L4193" s="21"/>
      <c r="M4193" s="21" t="s">
        <v>23</v>
      </c>
      <c r="N4193" s="21" t="s">
        <v>24</v>
      </c>
      <c r="O4193" s="21"/>
    </row>
    <row r="4194" spans="1:15" x14ac:dyDescent="0.25">
      <c r="A4194" s="21" t="s">
        <v>15</v>
      </c>
      <c r="B4194" s="21" t="str">
        <f>"FES1162772956"</f>
        <v>FES1162772956</v>
      </c>
      <c r="C4194" s="21" t="s">
        <v>2490</v>
      </c>
      <c r="D4194" s="21">
        <v>0</v>
      </c>
      <c r="E4194" s="21" t="str">
        <f>"2170759709"</f>
        <v>2170759709</v>
      </c>
      <c r="F4194" s="21" t="s">
        <v>17</v>
      </c>
      <c r="G4194" s="21" t="s">
        <v>18</v>
      </c>
      <c r="H4194" s="21" t="s">
        <v>25</v>
      </c>
      <c r="I4194" s="21" t="s">
        <v>26</v>
      </c>
      <c r="J4194" s="21" t="s">
        <v>75</v>
      </c>
      <c r="K4194" s="21" t="s">
        <v>2520</v>
      </c>
      <c r="L4194" s="21"/>
      <c r="M4194" s="21" t="s">
        <v>23</v>
      </c>
      <c r="N4194" s="21" t="s">
        <v>24</v>
      </c>
      <c r="O4194" s="21"/>
    </row>
    <row r="4195" spans="1:15" x14ac:dyDescent="0.25">
      <c r="A4195" s="21" t="s">
        <v>15</v>
      </c>
      <c r="B4195" s="21" t="str">
        <f>"FES1162772996"</f>
        <v>FES1162772996</v>
      </c>
      <c r="C4195" s="21" t="s">
        <v>2490</v>
      </c>
      <c r="D4195" s="21">
        <v>0</v>
      </c>
      <c r="E4195" s="21" t="str">
        <f>"2170759765"</f>
        <v>2170759765</v>
      </c>
      <c r="F4195" s="21" t="s">
        <v>17</v>
      </c>
      <c r="G4195" s="21" t="s">
        <v>18</v>
      </c>
      <c r="H4195" s="21" t="s">
        <v>25</v>
      </c>
      <c r="I4195" s="21" t="s">
        <v>125</v>
      </c>
      <c r="J4195" s="21" t="s">
        <v>126</v>
      </c>
      <c r="K4195" s="21" t="s">
        <v>2520</v>
      </c>
      <c r="L4195" s="21"/>
      <c r="M4195" s="21" t="s">
        <v>23</v>
      </c>
      <c r="N4195" s="21" t="s">
        <v>24</v>
      </c>
      <c r="O4195" s="21"/>
    </row>
    <row r="4196" spans="1:15" x14ac:dyDescent="0.25">
      <c r="A4196" s="2" t="s">
        <v>15</v>
      </c>
      <c r="B4196" s="2" t="str">
        <f>"FES1162772971"</f>
        <v>FES1162772971</v>
      </c>
      <c r="C4196" s="2" t="s">
        <v>2490</v>
      </c>
      <c r="D4196" s="2">
        <v>0</v>
      </c>
      <c r="E4196" s="2" t="str">
        <f>"2170759708"</f>
        <v>2170759708</v>
      </c>
      <c r="F4196" s="2" t="s">
        <v>17</v>
      </c>
      <c r="G4196" s="2" t="s">
        <v>18</v>
      </c>
      <c r="H4196" s="2" t="s">
        <v>19</v>
      </c>
      <c r="I4196" s="2" t="s">
        <v>111</v>
      </c>
      <c r="J4196" s="2" t="s">
        <v>143</v>
      </c>
      <c r="K4196" s="2" t="s">
        <v>2520</v>
      </c>
      <c r="L4196" s="3">
        <v>0.36319444444444443</v>
      </c>
      <c r="M4196" s="2" t="s">
        <v>1601</v>
      </c>
      <c r="N4196" s="2" t="s">
        <v>500</v>
      </c>
      <c r="O4196" s="2"/>
    </row>
    <row r="4197" spans="1:15" x14ac:dyDescent="0.25">
      <c r="A4197" s="21" t="s">
        <v>15</v>
      </c>
      <c r="B4197" s="21" t="str">
        <f>"FES1162773015"</f>
        <v>FES1162773015</v>
      </c>
      <c r="C4197" s="21" t="s">
        <v>2490</v>
      </c>
      <c r="D4197" s="21">
        <v>0</v>
      </c>
      <c r="E4197" s="21" t="str">
        <f>"2170759793"</f>
        <v>2170759793</v>
      </c>
      <c r="F4197" s="21" t="s">
        <v>17</v>
      </c>
      <c r="G4197" s="21" t="s">
        <v>18</v>
      </c>
      <c r="H4197" s="21" t="s">
        <v>25</v>
      </c>
      <c r="I4197" s="21" t="s">
        <v>26</v>
      </c>
      <c r="J4197" s="21" t="s">
        <v>1314</v>
      </c>
      <c r="K4197" s="21" t="s">
        <v>2520</v>
      </c>
      <c r="L4197" s="21"/>
      <c r="M4197" s="21" t="s">
        <v>23</v>
      </c>
      <c r="N4197" s="21" t="s">
        <v>24</v>
      </c>
      <c r="O4197" s="21"/>
    </row>
    <row r="4198" spans="1:15" x14ac:dyDescent="0.25">
      <c r="A4198" s="21" t="s">
        <v>15</v>
      </c>
      <c r="B4198" s="21" t="str">
        <f>"FES1162772986"</f>
        <v>FES1162772986</v>
      </c>
      <c r="C4198" s="21" t="s">
        <v>2490</v>
      </c>
      <c r="D4198" s="21">
        <v>0</v>
      </c>
      <c r="E4198" s="21" t="str">
        <f>"2170747511"</f>
        <v>2170747511</v>
      </c>
      <c r="F4198" s="21" t="s">
        <v>17</v>
      </c>
      <c r="G4198" s="21" t="s">
        <v>18</v>
      </c>
      <c r="H4198" s="21" t="s">
        <v>88</v>
      </c>
      <c r="I4198" s="21" t="s">
        <v>109</v>
      </c>
      <c r="J4198" s="21" t="s">
        <v>110</v>
      </c>
      <c r="K4198" s="21" t="s">
        <v>2520</v>
      </c>
      <c r="L4198" s="21"/>
      <c r="M4198" s="21" t="s">
        <v>23</v>
      </c>
      <c r="N4198" s="21" t="s">
        <v>24</v>
      </c>
      <c r="O4198" s="21"/>
    </row>
    <row r="4199" spans="1:15" x14ac:dyDescent="0.25">
      <c r="A4199" s="21" t="s">
        <v>15</v>
      </c>
      <c r="B4199" s="21" t="str">
        <f>"FES1162772987"</f>
        <v>FES1162772987</v>
      </c>
      <c r="C4199" s="21" t="s">
        <v>2490</v>
      </c>
      <c r="D4199" s="21">
        <v>0</v>
      </c>
      <c r="E4199" s="21" t="str">
        <f>"2170755844"</f>
        <v>2170755844</v>
      </c>
      <c r="F4199" s="21" t="s">
        <v>17</v>
      </c>
      <c r="G4199" s="21" t="s">
        <v>18</v>
      </c>
      <c r="H4199" s="21" t="s">
        <v>88</v>
      </c>
      <c r="I4199" s="21" t="s">
        <v>109</v>
      </c>
      <c r="J4199" s="21" t="s">
        <v>110</v>
      </c>
      <c r="K4199" s="21" t="s">
        <v>2520</v>
      </c>
      <c r="L4199" s="21"/>
      <c r="M4199" s="21" t="s">
        <v>23</v>
      </c>
      <c r="N4199" s="21" t="s">
        <v>24</v>
      </c>
      <c r="O4199" s="21"/>
    </row>
    <row r="4200" spans="1:15" x14ac:dyDescent="0.25">
      <c r="A4200" s="21" t="s">
        <v>15</v>
      </c>
      <c r="B4200" s="21" t="str">
        <f>"FES1162772988"</f>
        <v>FES1162772988</v>
      </c>
      <c r="C4200" s="21" t="s">
        <v>2490</v>
      </c>
      <c r="D4200" s="21">
        <v>0</v>
      </c>
      <c r="E4200" s="21" t="str">
        <f>"2170756092"</f>
        <v>2170756092</v>
      </c>
      <c r="F4200" s="21" t="s">
        <v>17</v>
      </c>
      <c r="G4200" s="21" t="s">
        <v>18</v>
      </c>
      <c r="H4200" s="21" t="s">
        <v>88</v>
      </c>
      <c r="I4200" s="21" t="s">
        <v>109</v>
      </c>
      <c r="J4200" s="21" t="s">
        <v>110</v>
      </c>
      <c r="K4200" s="21" t="s">
        <v>2520</v>
      </c>
      <c r="L4200" s="21"/>
      <c r="M4200" s="21" t="s">
        <v>23</v>
      </c>
      <c r="N4200" s="21" t="s">
        <v>24</v>
      </c>
      <c r="O4200" s="21"/>
    </row>
    <row r="4201" spans="1:15" x14ac:dyDescent="0.25">
      <c r="A4201" s="21" t="s">
        <v>15</v>
      </c>
      <c r="B4201" s="21" t="str">
        <f>"FES1162772992"</f>
        <v>FES1162772992</v>
      </c>
      <c r="C4201" s="21" t="s">
        <v>2490</v>
      </c>
      <c r="D4201" s="21">
        <v>0</v>
      </c>
      <c r="E4201" s="21" t="str">
        <f>"2170759761"</f>
        <v>2170759761</v>
      </c>
      <c r="F4201" s="21" t="s">
        <v>17</v>
      </c>
      <c r="G4201" s="21" t="s">
        <v>18</v>
      </c>
      <c r="H4201" s="21" t="s">
        <v>88</v>
      </c>
      <c r="I4201" s="21" t="s">
        <v>109</v>
      </c>
      <c r="J4201" s="21" t="s">
        <v>1927</v>
      </c>
      <c r="K4201" s="21" t="s">
        <v>2520</v>
      </c>
      <c r="L4201" s="21"/>
      <c r="M4201" s="21" t="s">
        <v>23</v>
      </c>
      <c r="N4201" s="21" t="s">
        <v>24</v>
      </c>
      <c r="O4201" s="21"/>
    </row>
    <row r="4202" spans="1:15" x14ac:dyDescent="0.25">
      <c r="A4202" s="21" t="s">
        <v>15</v>
      </c>
      <c r="B4202" s="21" t="str">
        <f>"FES1162772923"</f>
        <v>FES1162772923</v>
      </c>
      <c r="C4202" s="21" t="s">
        <v>2490</v>
      </c>
      <c r="D4202" s="21">
        <v>0</v>
      </c>
      <c r="E4202" s="21" t="str">
        <f>"2170755592"</f>
        <v>2170755592</v>
      </c>
      <c r="F4202" s="21" t="s">
        <v>17</v>
      </c>
      <c r="G4202" s="21" t="s">
        <v>18</v>
      </c>
      <c r="H4202" s="21" t="s">
        <v>18</v>
      </c>
      <c r="I4202" s="21" t="s">
        <v>50</v>
      </c>
      <c r="J4202" s="21" t="s">
        <v>285</v>
      </c>
      <c r="K4202" s="21" t="s">
        <v>2520</v>
      </c>
      <c r="L4202" s="21"/>
      <c r="M4202" s="21" t="s">
        <v>23</v>
      </c>
      <c r="N4202" s="21" t="s">
        <v>24</v>
      </c>
      <c r="O4202" s="21"/>
    </row>
    <row r="4203" spans="1:15" x14ac:dyDescent="0.25">
      <c r="A4203" s="21" t="s">
        <v>15</v>
      </c>
      <c r="B4203" s="21" t="str">
        <f>"FES1162772980"</f>
        <v>FES1162772980</v>
      </c>
      <c r="C4203" s="21" t="s">
        <v>2490</v>
      </c>
      <c r="D4203" s="21">
        <v>0</v>
      </c>
      <c r="E4203" s="21" t="str">
        <f>"2170759740"</f>
        <v>2170759740</v>
      </c>
      <c r="F4203" s="21" t="s">
        <v>17</v>
      </c>
      <c r="G4203" s="21" t="s">
        <v>18</v>
      </c>
      <c r="H4203" s="21" t="s">
        <v>19</v>
      </c>
      <c r="I4203" s="21" t="s">
        <v>20</v>
      </c>
      <c r="J4203" s="21" t="s">
        <v>21</v>
      </c>
      <c r="K4203" s="21" t="s">
        <v>2520</v>
      </c>
      <c r="L4203" s="21"/>
      <c r="M4203" s="21" t="s">
        <v>23</v>
      </c>
      <c r="N4203" s="21" t="s">
        <v>24</v>
      </c>
      <c r="O4203" s="21"/>
    </row>
    <row r="4204" spans="1:15" x14ac:dyDescent="0.25">
      <c r="A4204" s="2" t="s">
        <v>15</v>
      </c>
      <c r="B4204" s="2" t="str">
        <f>"FES1162773013"</f>
        <v>FES1162773013</v>
      </c>
      <c r="C4204" s="2" t="s">
        <v>2490</v>
      </c>
      <c r="D4204" s="2">
        <v>1</v>
      </c>
      <c r="E4204" s="2" t="str">
        <f>"2170759753"</f>
        <v>2170759753</v>
      </c>
      <c r="F4204" s="2" t="s">
        <v>17</v>
      </c>
      <c r="G4204" s="2" t="s">
        <v>18</v>
      </c>
      <c r="H4204" s="2" t="s">
        <v>19</v>
      </c>
      <c r="I4204" s="2" t="s">
        <v>111</v>
      </c>
      <c r="J4204" s="2" t="s">
        <v>405</v>
      </c>
      <c r="K4204" s="2" t="s">
        <v>2520</v>
      </c>
      <c r="L4204" s="3">
        <v>0.3659722222222222</v>
      </c>
      <c r="M4204" s="2" t="s">
        <v>714</v>
      </c>
      <c r="N4204" s="2" t="s">
        <v>500</v>
      </c>
      <c r="O4204" s="2"/>
    </row>
    <row r="4205" spans="1:15" x14ac:dyDescent="0.25">
      <c r="A4205" s="21" t="s">
        <v>15</v>
      </c>
      <c r="B4205" s="21" t="str">
        <f>"FES1162773023"</f>
        <v>FES1162773023</v>
      </c>
      <c r="C4205" s="21" t="s">
        <v>2490</v>
      </c>
      <c r="D4205" s="21">
        <v>1</v>
      </c>
      <c r="E4205" s="21" t="str">
        <f>"2170756157"</f>
        <v>2170756157</v>
      </c>
      <c r="F4205" s="21" t="s">
        <v>17</v>
      </c>
      <c r="G4205" s="21" t="s">
        <v>18</v>
      </c>
      <c r="H4205" s="21" t="s">
        <v>25</v>
      </c>
      <c r="I4205" s="21" t="s">
        <v>26</v>
      </c>
      <c r="J4205" s="21" t="s">
        <v>75</v>
      </c>
      <c r="K4205" s="21" t="s">
        <v>2520</v>
      </c>
      <c r="L4205" s="21"/>
      <c r="M4205" s="21" t="s">
        <v>23</v>
      </c>
      <c r="N4205" s="21" t="s">
        <v>24</v>
      </c>
      <c r="O4205" s="21"/>
    </row>
    <row r="4206" spans="1:15" x14ac:dyDescent="0.25">
      <c r="A4206" s="21" t="s">
        <v>15</v>
      </c>
      <c r="B4206" s="21" t="str">
        <f>"FES1162772989"</f>
        <v>FES1162772989</v>
      </c>
      <c r="C4206" s="21" t="s">
        <v>2490</v>
      </c>
      <c r="D4206" s="21">
        <v>1</v>
      </c>
      <c r="E4206" s="21" t="str">
        <f>"2170759241"</f>
        <v>2170759241</v>
      </c>
      <c r="F4206" s="21" t="s">
        <v>17</v>
      </c>
      <c r="G4206" s="21" t="s">
        <v>18</v>
      </c>
      <c r="H4206" s="21" t="s">
        <v>88</v>
      </c>
      <c r="I4206" s="21" t="s">
        <v>109</v>
      </c>
      <c r="J4206" s="21" t="s">
        <v>110</v>
      </c>
      <c r="K4206" s="21" t="s">
        <v>2520</v>
      </c>
      <c r="L4206" s="21"/>
      <c r="M4206" s="21" t="s">
        <v>23</v>
      </c>
      <c r="N4206" s="21" t="s">
        <v>24</v>
      </c>
      <c r="O4206" s="21"/>
    </row>
    <row r="4207" spans="1:15" x14ac:dyDescent="0.25">
      <c r="A4207" s="21" t="s">
        <v>15</v>
      </c>
      <c r="B4207" s="21" t="str">
        <f>"FES1162773002"</f>
        <v>FES1162773002</v>
      </c>
      <c r="C4207" s="21" t="s">
        <v>2490</v>
      </c>
      <c r="D4207" s="21">
        <v>1</v>
      </c>
      <c r="E4207" s="21" t="str">
        <f>"2170759778"</f>
        <v>2170759778</v>
      </c>
      <c r="F4207" s="21" t="s">
        <v>17</v>
      </c>
      <c r="G4207" s="21" t="s">
        <v>18</v>
      </c>
      <c r="H4207" s="21" t="s">
        <v>484</v>
      </c>
      <c r="I4207" s="21" t="s">
        <v>675</v>
      </c>
      <c r="J4207" s="21" t="s">
        <v>2061</v>
      </c>
      <c r="K4207" s="21" t="s">
        <v>2520</v>
      </c>
      <c r="L4207" s="21"/>
      <c r="M4207" s="21" t="s">
        <v>23</v>
      </c>
      <c r="N4207" s="21" t="s">
        <v>24</v>
      </c>
      <c r="O4207" s="21"/>
    </row>
    <row r="4208" spans="1:15" x14ac:dyDescent="0.25">
      <c r="A4208" s="21" t="s">
        <v>15</v>
      </c>
      <c r="B4208" s="21" t="str">
        <f>"FES1162772939"</f>
        <v>FES1162772939</v>
      </c>
      <c r="C4208" s="21" t="s">
        <v>2490</v>
      </c>
      <c r="D4208" s="21">
        <v>1</v>
      </c>
      <c r="E4208" s="21" t="str">
        <f>"2170759680"</f>
        <v>2170759680</v>
      </c>
      <c r="F4208" s="21" t="s">
        <v>17</v>
      </c>
      <c r="G4208" s="21" t="s">
        <v>18</v>
      </c>
      <c r="H4208" s="21" t="s">
        <v>25</v>
      </c>
      <c r="I4208" s="21" t="s">
        <v>39</v>
      </c>
      <c r="J4208" s="21" t="s">
        <v>161</v>
      </c>
      <c r="K4208" s="21" t="s">
        <v>2520</v>
      </c>
      <c r="L4208" s="21"/>
      <c r="M4208" s="21" t="s">
        <v>23</v>
      </c>
      <c r="N4208" s="21" t="s">
        <v>24</v>
      </c>
      <c r="O4208" s="21"/>
    </row>
    <row r="4209" spans="1:15" x14ac:dyDescent="0.25">
      <c r="A4209" s="2" t="s">
        <v>15</v>
      </c>
      <c r="B4209" s="2" t="str">
        <f>"FES1162772921"</f>
        <v>FES1162772921</v>
      </c>
      <c r="C4209" s="2" t="s">
        <v>2490</v>
      </c>
      <c r="D4209" s="2">
        <v>1</v>
      </c>
      <c r="E4209" s="2" t="str">
        <f>"2170754147"</f>
        <v>2170754147</v>
      </c>
      <c r="F4209" s="2" t="s">
        <v>17</v>
      </c>
      <c r="G4209" s="2" t="s">
        <v>18</v>
      </c>
      <c r="H4209" s="2" t="s">
        <v>25</v>
      </c>
      <c r="I4209" s="2" t="s">
        <v>26</v>
      </c>
      <c r="J4209" s="2" t="s">
        <v>422</v>
      </c>
      <c r="K4209" s="2" t="s">
        <v>2520</v>
      </c>
      <c r="L4209" s="3">
        <v>0.35694444444444445</v>
      </c>
      <c r="M4209" s="2" t="s">
        <v>2180</v>
      </c>
      <c r="N4209" s="2" t="s">
        <v>500</v>
      </c>
      <c r="O4209" s="2"/>
    </row>
    <row r="4210" spans="1:15" x14ac:dyDescent="0.25">
      <c r="A4210" s="21" t="s">
        <v>15</v>
      </c>
      <c r="B4210" s="21" t="str">
        <f>"FES1162772936"</f>
        <v>FES1162772936</v>
      </c>
      <c r="C4210" s="21" t="s">
        <v>2490</v>
      </c>
      <c r="D4210" s="21">
        <v>1</v>
      </c>
      <c r="E4210" s="21" t="str">
        <f>"2170759676"</f>
        <v>2170759676</v>
      </c>
      <c r="F4210" s="21" t="s">
        <v>17</v>
      </c>
      <c r="G4210" s="21" t="s">
        <v>18</v>
      </c>
      <c r="H4210" s="21" t="s">
        <v>25</v>
      </c>
      <c r="I4210" s="21" t="s">
        <v>39</v>
      </c>
      <c r="J4210" s="21" t="s">
        <v>1798</v>
      </c>
      <c r="K4210" s="21" t="s">
        <v>2520</v>
      </c>
      <c r="L4210" s="21"/>
      <c r="M4210" s="21" t="s">
        <v>23</v>
      </c>
      <c r="N4210" s="21" t="s">
        <v>24</v>
      </c>
      <c r="O4210" s="21"/>
    </row>
    <row r="4211" spans="1:15" x14ac:dyDescent="0.25">
      <c r="A4211" s="21" t="s">
        <v>15</v>
      </c>
      <c r="B4211" s="21" t="str">
        <f>"FES1162772838"</f>
        <v>FES1162772838</v>
      </c>
      <c r="C4211" s="21" t="s">
        <v>2490</v>
      </c>
      <c r="D4211" s="21">
        <v>1</v>
      </c>
      <c r="E4211" s="21" t="str">
        <f>"2170757706"</f>
        <v>2170757706</v>
      </c>
      <c r="F4211" s="21" t="s">
        <v>17</v>
      </c>
      <c r="G4211" s="21" t="s">
        <v>18</v>
      </c>
      <c r="H4211" s="21" t="s">
        <v>33</v>
      </c>
      <c r="I4211" s="21" t="s">
        <v>34</v>
      </c>
      <c r="J4211" s="21" t="s">
        <v>400</v>
      </c>
      <c r="K4211" s="21" t="s">
        <v>2520</v>
      </c>
      <c r="L4211" s="21"/>
      <c r="M4211" s="21" t="s">
        <v>23</v>
      </c>
      <c r="N4211" s="21" t="s">
        <v>24</v>
      </c>
      <c r="O4211" s="21"/>
    </row>
    <row r="4212" spans="1:15" x14ac:dyDescent="0.25">
      <c r="A4212" s="21" t="s">
        <v>15</v>
      </c>
      <c r="B4212" s="21" t="str">
        <f>"FES1162772859"</f>
        <v>FES1162772859</v>
      </c>
      <c r="C4212" s="21" t="s">
        <v>2490</v>
      </c>
      <c r="D4212" s="21">
        <v>1</v>
      </c>
      <c r="E4212" s="21" t="str">
        <f>"2170757889"</f>
        <v>2170757889</v>
      </c>
      <c r="F4212" s="21" t="s">
        <v>17</v>
      </c>
      <c r="G4212" s="21" t="s">
        <v>18</v>
      </c>
      <c r="H4212" s="21" t="s">
        <v>36</v>
      </c>
      <c r="I4212" s="21" t="s">
        <v>37</v>
      </c>
      <c r="J4212" s="21" t="s">
        <v>279</v>
      </c>
      <c r="K4212" s="21" t="s">
        <v>2520</v>
      </c>
      <c r="L4212" s="21"/>
      <c r="M4212" s="21" t="s">
        <v>23</v>
      </c>
      <c r="N4212" s="21" t="s">
        <v>24</v>
      </c>
      <c r="O4212" s="21"/>
    </row>
    <row r="4213" spans="1:15" x14ac:dyDescent="0.25">
      <c r="A4213" s="21" t="s">
        <v>15</v>
      </c>
      <c r="B4213" s="21" t="str">
        <f>"FES1162772976"</f>
        <v>FES1162772976</v>
      </c>
      <c r="C4213" s="21" t="s">
        <v>2490</v>
      </c>
      <c r="D4213" s="21">
        <v>1</v>
      </c>
      <c r="E4213" s="21" t="str">
        <f>"2170759735"</f>
        <v>2170759735</v>
      </c>
      <c r="F4213" s="21" t="s">
        <v>17</v>
      </c>
      <c r="G4213" s="21" t="s">
        <v>18</v>
      </c>
      <c r="H4213" s="21" t="s">
        <v>18</v>
      </c>
      <c r="I4213" s="21" t="s">
        <v>63</v>
      </c>
      <c r="J4213" s="21" t="s">
        <v>2569</v>
      </c>
      <c r="K4213" s="21" t="s">
        <v>2520</v>
      </c>
      <c r="L4213" s="21"/>
      <c r="M4213" s="21" t="s">
        <v>23</v>
      </c>
      <c r="N4213" s="21" t="s">
        <v>24</v>
      </c>
      <c r="O4213" s="21"/>
    </row>
    <row r="4214" spans="1:15" x14ac:dyDescent="0.25">
      <c r="A4214" s="21" t="s">
        <v>15</v>
      </c>
      <c r="B4214" s="21" t="str">
        <f>"FES1162772960"</f>
        <v>FES1162772960</v>
      </c>
      <c r="C4214" s="21" t="s">
        <v>2490</v>
      </c>
      <c r="D4214" s="21">
        <v>1</v>
      </c>
      <c r="E4214" s="21" t="str">
        <f>"2170759586"</f>
        <v>2170759586</v>
      </c>
      <c r="F4214" s="21" t="s">
        <v>17</v>
      </c>
      <c r="G4214" s="21" t="s">
        <v>18</v>
      </c>
      <c r="H4214" s="21" t="s">
        <v>78</v>
      </c>
      <c r="I4214" s="21" t="s">
        <v>79</v>
      </c>
      <c r="J4214" s="21" t="s">
        <v>81</v>
      </c>
      <c r="K4214" s="21" t="s">
        <v>2520</v>
      </c>
      <c r="L4214" s="21"/>
      <c r="M4214" s="21" t="s">
        <v>23</v>
      </c>
      <c r="N4214" s="21" t="s">
        <v>24</v>
      </c>
      <c r="O4214" s="21"/>
    </row>
    <row r="4215" spans="1:15" x14ac:dyDescent="0.25">
      <c r="A4215" s="21" t="s">
        <v>15</v>
      </c>
      <c r="B4215" s="21" t="str">
        <f>"FES1162772997"</f>
        <v>FES1162772997</v>
      </c>
      <c r="C4215" s="21" t="s">
        <v>2490</v>
      </c>
      <c r="D4215" s="21">
        <v>1</v>
      </c>
      <c r="E4215" s="21" t="str">
        <f>"2170759769"</f>
        <v>2170759769</v>
      </c>
      <c r="F4215" s="21" t="s">
        <v>17</v>
      </c>
      <c r="G4215" s="21" t="s">
        <v>18</v>
      </c>
      <c r="H4215" s="21" t="s">
        <v>19</v>
      </c>
      <c r="I4215" s="21" t="s">
        <v>20</v>
      </c>
      <c r="J4215" s="21" t="s">
        <v>123</v>
      </c>
      <c r="K4215" s="21" t="s">
        <v>2520</v>
      </c>
      <c r="L4215" s="21"/>
      <c r="M4215" s="21" t="s">
        <v>23</v>
      </c>
      <c r="N4215" s="21" t="s">
        <v>24</v>
      </c>
      <c r="O4215" s="21"/>
    </row>
    <row r="4216" spans="1:15" x14ac:dyDescent="0.25">
      <c r="A4216" s="21" t="s">
        <v>15</v>
      </c>
      <c r="B4216" s="21" t="str">
        <f>"FES1162772990"</f>
        <v>FES1162772990</v>
      </c>
      <c r="C4216" s="21" t="s">
        <v>2490</v>
      </c>
      <c r="D4216" s="21">
        <v>1</v>
      </c>
      <c r="E4216" s="21" t="str">
        <f>"2170759758"</f>
        <v>2170759758</v>
      </c>
      <c r="F4216" s="21" t="s">
        <v>17</v>
      </c>
      <c r="G4216" s="21" t="s">
        <v>18</v>
      </c>
      <c r="H4216" s="21" t="s">
        <v>19</v>
      </c>
      <c r="I4216" s="21" t="s">
        <v>20</v>
      </c>
      <c r="J4216" s="21" t="s">
        <v>1124</v>
      </c>
      <c r="K4216" s="21" t="s">
        <v>2520</v>
      </c>
      <c r="L4216" s="21"/>
      <c r="M4216" s="21" t="s">
        <v>23</v>
      </c>
      <c r="N4216" s="21" t="s">
        <v>24</v>
      </c>
      <c r="O4216" s="21"/>
    </row>
    <row r="4217" spans="1:15" x14ac:dyDescent="0.25">
      <c r="A4217" s="21" t="s">
        <v>15</v>
      </c>
      <c r="B4217" s="21" t="str">
        <f>"FES1162772928"</f>
        <v>FES1162772928</v>
      </c>
      <c r="C4217" s="21" t="s">
        <v>2490</v>
      </c>
      <c r="D4217" s="21">
        <v>1</v>
      </c>
      <c r="E4217" s="21" t="str">
        <f>"2170757985"</f>
        <v>2170757985</v>
      </c>
      <c r="F4217" s="21" t="s">
        <v>17</v>
      </c>
      <c r="G4217" s="21" t="s">
        <v>18</v>
      </c>
      <c r="H4217" s="21" t="s">
        <v>19</v>
      </c>
      <c r="I4217" s="21" t="s">
        <v>20</v>
      </c>
      <c r="J4217" s="21" t="s">
        <v>21</v>
      </c>
      <c r="K4217" s="21" t="s">
        <v>2520</v>
      </c>
      <c r="L4217" s="21"/>
      <c r="M4217" s="21" t="s">
        <v>23</v>
      </c>
      <c r="N4217" s="21" t="s">
        <v>24</v>
      </c>
      <c r="O4217" s="21"/>
    </row>
    <row r="4218" spans="1:15" x14ac:dyDescent="0.25">
      <c r="A4218" s="2" t="s">
        <v>15</v>
      </c>
      <c r="B4218" s="2" t="str">
        <f>"FES1162772821"</f>
        <v>FES1162772821</v>
      </c>
      <c r="C4218" s="2" t="s">
        <v>2490</v>
      </c>
      <c r="D4218" s="2">
        <v>1</v>
      </c>
      <c r="E4218" s="2" t="str">
        <f>"2170757409"</f>
        <v>2170757409</v>
      </c>
      <c r="F4218" s="2" t="s">
        <v>17</v>
      </c>
      <c r="G4218" s="2" t="s">
        <v>18</v>
      </c>
      <c r="H4218" s="2" t="s">
        <v>36</v>
      </c>
      <c r="I4218" s="2" t="s">
        <v>37</v>
      </c>
      <c r="J4218" s="2" t="s">
        <v>378</v>
      </c>
      <c r="K4218" s="2" t="s">
        <v>2520</v>
      </c>
      <c r="L4218" s="3">
        <v>0.33888888888888885</v>
      </c>
      <c r="M4218" s="2" t="s">
        <v>2570</v>
      </c>
      <c r="N4218" s="2" t="s">
        <v>500</v>
      </c>
      <c r="O4218" s="2"/>
    </row>
    <row r="4219" spans="1:15" x14ac:dyDescent="0.25">
      <c r="A4219" s="21" t="s">
        <v>15</v>
      </c>
      <c r="B4219" s="21" t="str">
        <f>"FES1162772958"</f>
        <v>FES1162772958</v>
      </c>
      <c r="C4219" s="21" t="s">
        <v>2490</v>
      </c>
      <c r="D4219" s="21">
        <v>1</v>
      </c>
      <c r="E4219" s="21" t="str">
        <f>"2170759585"</f>
        <v>2170759585</v>
      </c>
      <c r="F4219" s="21" t="s">
        <v>17</v>
      </c>
      <c r="G4219" s="21" t="s">
        <v>18</v>
      </c>
      <c r="H4219" s="21" t="s">
        <v>78</v>
      </c>
      <c r="I4219" s="21" t="s">
        <v>79</v>
      </c>
      <c r="J4219" s="21" t="s">
        <v>81</v>
      </c>
      <c r="K4219" s="21" t="s">
        <v>2520</v>
      </c>
      <c r="L4219" s="21"/>
      <c r="M4219" s="21" t="s">
        <v>23</v>
      </c>
      <c r="N4219" s="21" t="s">
        <v>24</v>
      </c>
      <c r="O4219" s="21"/>
    </row>
    <row r="4220" spans="1:15" x14ac:dyDescent="0.25">
      <c r="A4220" s="21" t="s">
        <v>15</v>
      </c>
      <c r="B4220" s="21" t="str">
        <f>"FES1162772944"</f>
        <v>FES1162772944</v>
      </c>
      <c r="C4220" s="21" t="s">
        <v>2490</v>
      </c>
      <c r="D4220" s="21">
        <v>1</v>
      </c>
      <c r="E4220" s="21" t="str">
        <f>"2170759693"</f>
        <v>2170759693</v>
      </c>
      <c r="F4220" s="21" t="s">
        <v>17</v>
      </c>
      <c r="G4220" s="21" t="s">
        <v>18</v>
      </c>
      <c r="H4220" s="21" t="s">
        <v>19</v>
      </c>
      <c r="I4220" s="21" t="s">
        <v>111</v>
      </c>
      <c r="J4220" s="21" t="s">
        <v>70</v>
      </c>
      <c r="K4220" s="21" t="s">
        <v>2520</v>
      </c>
      <c r="L4220" s="21"/>
      <c r="M4220" s="21" t="s">
        <v>23</v>
      </c>
      <c r="N4220" s="21" t="s">
        <v>24</v>
      </c>
      <c r="O4220" s="21"/>
    </row>
    <row r="4221" spans="1:15" x14ac:dyDescent="0.25">
      <c r="A4221" s="21" t="s">
        <v>15</v>
      </c>
      <c r="B4221" s="21" t="str">
        <f>"FES1162772970"</f>
        <v>FES1162772970</v>
      </c>
      <c r="C4221" s="21" t="s">
        <v>2490</v>
      </c>
      <c r="D4221" s="21">
        <v>1</v>
      </c>
      <c r="E4221" s="21" t="str">
        <f>"2170759256"</f>
        <v>2170759256</v>
      </c>
      <c r="F4221" s="21" t="s">
        <v>17</v>
      </c>
      <c r="G4221" s="21" t="s">
        <v>18</v>
      </c>
      <c r="H4221" s="21" t="s">
        <v>88</v>
      </c>
      <c r="I4221" s="21" t="s">
        <v>109</v>
      </c>
      <c r="J4221" s="21" t="s">
        <v>110</v>
      </c>
      <c r="K4221" s="21" t="s">
        <v>2520</v>
      </c>
      <c r="L4221" s="21"/>
      <c r="M4221" s="21" t="s">
        <v>23</v>
      </c>
      <c r="N4221" s="21" t="s">
        <v>24</v>
      </c>
      <c r="O4221" s="21"/>
    </row>
    <row r="4222" spans="1:15" x14ac:dyDescent="0.25">
      <c r="A4222" s="21" t="s">
        <v>15</v>
      </c>
      <c r="B4222" s="21" t="str">
        <f>"FES1162772947"</f>
        <v>FES1162772947</v>
      </c>
      <c r="C4222" s="21" t="s">
        <v>2490</v>
      </c>
      <c r="D4222" s="21">
        <v>1</v>
      </c>
      <c r="E4222" s="21" t="str">
        <f>"2170759699"</f>
        <v>2170759699</v>
      </c>
      <c r="F4222" s="21" t="s">
        <v>17</v>
      </c>
      <c r="G4222" s="21" t="s">
        <v>18</v>
      </c>
      <c r="H4222" s="21" t="s">
        <v>88</v>
      </c>
      <c r="I4222" s="21" t="s">
        <v>109</v>
      </c>
      <c r="J4222" s="21" t="s">
        <v>141</v>
      </c>
      <c r="K4222" s="21" t="s">
        <v>2520</v>
      </c>
      <c r="L4222" s="21"/>
      <c r="M4222" s="21" t="s">
        <v>23</v>
      </c>
      <c r="N4222" s="21" t="s">
        <v>24</v>
      </c>
      <c r="O4222" s="21"/>
    </row>
    <row r="4223" spans="1:15" x14ac:dyDescent="0.25">
      <c r="A4223" s="21" t="s">
        <v>15</v>
      </c>
      <c r="B4223" s="21" t="str">
        <f>"FES1162772964"</f>
        <v>FES1162772964</v>
      </c>
      <c r="C4223" s="21" t="s">
        <v>2490</v>
      </c>
      <c r="D4223" s="21">
        <v>1</v>
      </c>
      <c r="E4223" s="21" t="str">
        <f>"2170759718"</f>
        <v>2170759718</v>
      </c>
      <c r="F4223" s="21" t="s">
        <v>17</v>
      </c>
      <c r="G4223" s="21" t="s">
        <v>18</v>
      </c>
      <c r="H4223" s="21" t="s">
        <v>18</v>
      </c>
      <c r="I4223" s="21" t="s">
        <v>63</v>
      </c>
      <c r="J4223" s="21" t="s">
        <v>93</v>
      </c>
      <c r="K4223" s="21" t="s">
        <v>2520</v>
      </c>
      <c r="L4223" s="21"/>
      <c r="M4223" s="21" t="s">
        <v>23</v>
      </c>
      <c r="N4223" s="21" t="s">
        <v>24</v>
      </c>
      <c r="O4223" s="21"/>
    </row>
    <row r="4224" spans="1:15" x14ac:dyDescent="0.25">
      <c r="A4224" s="21" t="s">
        <v>15</v>
      </c>
      <c r="B4224" s="21" t="str">
        <f>"FES1162773000"</f>
        <v>FES1162773000</v>
      </c>
      <c r="C4224" s="21" t="s">
        <v>2490</v>
      </c>
      <c r="D4224" s="21">
        <v>1</v>
      </c>
      <c r="E4224" s="21" t="str">
        <f>"2170759773"</f>
        <v>2170759773</v>
      </c>
      <c r="F4224" s="21" t="s">
        <v>17</v>
      </c>
      <c r="G4224" s="21" t="s">
        <v>18</v>
      </c>
      <c r="H4224" s="21" t="s">
        <v>18</v>
      </c>
      <c r="I4224" s="21" t="s">
        <v>157</v>
      </c>
      <c r="J4224" s="21" t="s">
        <v>2571</v>
      </c>
      <c r="K4224" s="21" t="s">
        <v>2520</v>
      </c>
      <c r="L4224" s="21"/>
      <c r="M4224" s="21" t="s">
        <v>23</v>
      </c>
      <c r="N4224" s="21" t="s">
        <v>24</v>
      </c>
      <c r="O4224" s="21"/>
    </row>
    <row r="4225" spans="1:15" x14ac:dyDescent="0.25">
      <c r="A4225" s="21" t="s">
        <v>15</v>
      </c>
      <c r="B4225" s="21" t="str">
        <f>"FES1162772836"</f>
        <v>FES1162772836</v>
      </c>
      <c r="C4225" s="21" t="s">
        <v>2490</v>
      </c>
      <c r="D4225" s="21">
        <v>1</v>
      </c>
      <c r="E4225" s="21" t="str">
        <f>"2170757686"</f>
        <v>2170757686</v>
      </c>
      <c r="F4225" s="21" t="s">
        <v>17</v>
      </c>
      <c r="G4225" s="21" t="s">
        <v>18</v>
      </c>
      <c r="H4225" s="21" t="s">
        <v>36</v>
      </c>
      <c r="I4225" s="21" t="s">
        <v>134</v>
      </c>
      <c r="J4225" s="21" t="s">
        <v>135</v>
      </c>
      <c r="K4225" s="21" t="s">
        <v>2520</v>
      </c>
      <c r="L4225" s="21"/>
      <c r="M4225" s="21" t="s">
        <v>23</v>
      </c>
      <c r="N4225" s="21" t="s">
        <v>24</v>
      </c>
      <c r="O4225" s="21"/>
    </row>
    <row r="4226" spans="1:15" x14ac:dyDescent="0.25">
      <c r="A4226" s="21" t="s">
        <v>15</v>
      </c>
      <c r="B4226" s="21" t="str">
        <f>"FES1162773032"</f>
        <v>FES1162773032</v>
      </c>
      <c r="C4226" s="21" t="s">
        <v>2490</v>
      </c>
      <c r="D4226" s="21">
        <v>1</v>
      </c>
      <c r="E4226" s="21" t="str">
        <f>"2170759810"</f>
        <v>2170759810</v>
      </c>
      <c r="F4226" s="21" t="s">
        <v>17</v>
      </c>
      <c r="G4226" s="21" t="s">
        <v>18</v>
      </c>
      <c r="H4226" s="21" t="s">
        <v>25</v>
      </c>
      <c r="I4226" s="21" t="s">
        <v>26</v>
      </c>
      <c r="J4226" s="21" t="s">
        <v>1297</v>
      </c>
      <c r="K4226" s="21" t="s">
        <v>2520</v>
      </c>
      <c r="L4226" s="21"/>
      <c r="M4226" s="21" t="s">
        <v>23</v>
      </c>
      <c r="N4226" s="21" t="s">
        <v>24</v>
      </c>
      <c r="O4226" s="21"/>
    </row>
    <row r="4227" spans="1:15" x14ac:dyDescent="0.25">
      <c r="A4227" s="2" t="s">
        <v>15</v>
      </c>
      <c r="B4227" s="2" t="str">
        <f>"FES1162772959"</f>
        <v>FES1162772959</v>
      </c>
      <c r="C4227" s="2" t="s">
        <v>2490</v>
      </c>
      <c r="D4227" s="2">
        <v>1</v>
      </c>
      <c r="E4227" s="2" t="str">
        <f>"2170759713"</f>
        <v>2170759713</v>
      </c>
      <c r="F4227" s="2" t="s">
        <v>17</v>
      </c>
      <c r="G4227" s="2" t="s">
        <v>18</v>
      </c>
      <c r="H4227" s="2" t="s">
        <v>18</v>
      </c>
      <c r="I4227" s="2" t="s">
        <v>57</v>
      </c>
      <c r="J4227" s="2" t="s">
        <v>910</v>
      </c>
      <c r="K4227" s="2" t="s">
        <v>2520</v>
      </c>
      <c r="L4227" s="3">
        <v>0.34583333333333338</v>
      </c>
      <c r="M4227" s="2" t="s">
        <v>2046</v>
      </c>
      <c r="N4227" s="2" t="s">
        <v>500</v>
      </c>
      <c r="O4227" s="2"/>
    </row>
    <row r="4228" spans="1:15" x14ac:dyDescent="0.25">
      <c r="A4228" s="21" t="s">
        <v>15</v>
      </c>
      <c r="B4228" s="21" t="str">
        <f>"FES1162772995"</f>
        <v>FES1162772995</v>
      </c>
      <c r="C4228" s="21" t="s">
        <v>2490</v>
      </c>
      <c r="D4228" s="21">
        <v>1</v>
      </c>
      <c r="E4228" s="21" t="str">
        <f>"2170759764"</f>
        <v>2170759764</v>
      </c>
      <c r="F4228" s="21" t="s">
        <v>17</v>
      </c>
      <c r="G4228" s="21" t="s">
        <v>18</v>
      </c>
      <c r="H4228" s="21" t="s">
        <v>18</v>
      </c>
      <c r="I4228" s="21" t="s">
        <v>46</v>
      </c>
      <c r="J4228" s="21" t="s">
        <v>59</v>
      </c>
      <c r="K4228" s="21" t="s">
        <v>2520</v>
      </c>
      <c r="L4228" s="21"/>
      <c r="M4228" s="21" t="s">
        <v>23</v>
      </c>
      <c r="N4228" s="21" t="s">
        <v>24</v>
      </c>
      <c r="O4228" s="21"/>
    </row>
    <row r="4229" spans="1:15" x14ac:dyDescent="0.25">
      <c r="A4229" s="21" t="s">
        <v>15</v>
      </c>
      <c r="B4229" s="21" t="str">
        <f>"FES1162773018"</f>
        <v>FES1162773018</v>
      </c>
      <c r="C4229" s="21" t="s">
        <v>2490</v>
      </c>
      <c r="D4229" s="21">
        <v>1</v>
      </c>
      <c r="E4229" s="21" t="str">
        <f>"2170758807"</f>
        <v>2170758807</v>
      </c>
      <c r="F4229" s="21" t="s">
        <v>17</v>
      </c>
      <c r="G4229" s="21" t="s">
        <v>18</v>
      </c>
      <c r="H4229" s="21" t="s">
        <v>25</v>
      </c>
      <c r="I4229" s="21" t="s">
        <v>26</v>
      </c>
      <c r="J4229" s="21" t="s">
        <v>353</v>
      </c>
      <c r="K4229" s="21" t="s">
        <v>2520</v>
      </c>
      <c r="L4229" s="21"/>
      <c r="M4229" s="21" t="s">
        <v>23</v>
      </c>
      <c r="N4229" s="21" t="s">
        <v>24</v>
      </c>
      <c r="O4229" s="21"/>
    </row>
    <row r="4230" spans="1:15" x14ac:dyDescent="0.25">
      <c r="A4230" s="21" t="s">
        <v>15</v>
      </c>
      <c r="B4230" s="21" t="str">
        <f>"FES1162773017"</f>
        <v>FES1162773017</v>
      </c>
      <c r="C4230" s="21" t="s">
        <v>2490</v>
      </c>
      <c r="D4230" s="21">
        <v>1</v>
      </c>
      <c r="E4230" s="21" t="str">
        <f>"2170758430"</f>
        <v>2170758430</v>
      </c>
      <c r="F4230" s="21" t="s">
        <v>17</v>
      </c>
      <c r="G4230" s="21" t="s">
        <v>18</v>
      </c>
      <c r="H4230" s="21" t="s">
        <v>88</v>
      </c>
      <c r="I4230" s="21" t="s">
        <v>109</v>
      </c>
      <c r="J4230" s="21" t="s">
        <v>395</v>
      </c>
      <c r="K4230" s="21" t="s">
        <v>2520</v>
      </c>
      <c r="L4230" s="21"/>
      <c r="M4230" s="21" t="s">
        <v>23</v>
      </c>
      <c r="N4230" s="21" t="s">
        <v>24</v>
      </c>
      <c r="O4230" s="21"/>
    </row>
    <row r="4231" spans="1:15" x14ac:dyDescent="0.25">
      <c r="A4231" s="21" t="s">
        <v>15</v>
      </c>
      <c r="B4231" s="21" t="str">
        <f>"FES1162773024"</f>
        <v>FES1162773024</v>
      </c>
      <c r="C4231" s="21" t="s">
        <v>2490</v>
      </c>
      <c r="D4231" s="21">
        <v>1</v>
      </c>
      <c r="E4231" s="21" t="str">
        <f>"2170757424"</f>
        <v>2170757424</v>
      </c>
      <c r="F4231" s="21" t="s">
        <v>17</v>
      </c>
      <c r="G4231" s="21" t="s">
        <v>18</v>
      </c>
      <c r="H4231" s="21" t="s">
        <v>25</v>
      </c>
      <c r="I4231" s="21" t="s">
        <v>26</v>
      </c>
      <c r="J4231" s="21" t="s">
        <v>27</v>
      </c>
      <c r="K4231" s="21" t="s">
        <v>2520</v>
      </c>
      <c r="L4231" s="21"/>
      <c r="M4231" s="21" t="s">
        <v>23</v>
      </c>
      <c r="N4231" s="21" t="s">
        <v>24</v>
      </c>
      <c r="O4231" s="21"/>
    </row>
    <row r="4232" spans="1:15" x14ac:dyDescent="0.25">
      <c r="A4232" s="21" t="s">
        <v>15</v>
      </c>
      <c r="B4232" s="21" t="str">
        <f>"FES1162773025"</f>
        <v>FES1162773025</v>
      </c>
      <c r="C4232" s="21" t="s">
        <v>2490</v>
      </c>
      <c r="D4232" s="21">
        <v>1</v>
      </c>
      <c r="E4232" s="21" t="str">
        <f>"2170759805"</f>
        <v>2170759805</v>
      </c>
      <c r="F4232" s="21" t="s">
        <v>17</v>
      </c>
      <c r="G4232" s="21" t="s">
        <v>18</v>
      </c>
      <c r="H4232" s="21" t="s">
        <v>18</v>
      </c>
      <c r="I4232" s="21" t="s">
        <v>63</v>
      </c>
      <c r="J4232" s="21" t="s">
        <v>93</v>
      </c>
      <c r="K4232" s="21" t="s">
        <v>2520</v>
      </c>
      <c r="L4232" s="21"/>
      <c r="M4232" s="21" t="s">
        <v>23</v>
      </c>
      <c r="N4232" s="21" t="s">
        <v>24</v>
      </c>
      <c r="O4232" s="21"/>
    </row>
    <row r="4233" spans="1:15" x14ac:dyDescent="0.25">
      <c r="A4233" s="21" t="s">
        <v>15</v>
      </c>
      <c r="B4233" s="21" t="str">
        <f>"FES1162773029"</f>
        <v>FES1162773029</v>
      </c>
      <c r="C4233" s="21" t="s">
        <v>2490</v>
      </c>
      <c r="D4233" s="21">
        <v>1</v>
      </c>
      <c r="E4233" s="21" t="str">
        <f>"2170759380"</f>
        <v>2170759380</v>
      </c>
      <c r="F4233" s="21" t="s">
        <v>17</v>
      </c>
      <c r="G4233" s="21" t="s">
        <v>18</v>
      </c>
      <c r="H4233" s="21" t="s">
        <v>25</v>
      </c>
      <c r="I4233" s="21" t="s">
        <v>39</v>
      </c>
      <c r="J4233" s="21" t="s">
        <v>40</v>
      </c>
      <c r="K4233" s="21" t="s">
        <v>2520</v>
      </c>
      <c r="L4233" s="21"/>
      <c r="M4233" s="21" t="s">
        <v>23</v>
      </c>
      <c r="N4233" s="21" t="s">
        <v>24</v>
      </c>
      <c r="O4233" s="21"/>
    </row>
    <row r="4234" spans="1:15" x14ac:dyDescent="0.25">
      <c r="A4234" s="21" t="s">
        <v>15</v>
      </c>
      <c r="B4234" s="21" t="str">
        <f>"FES1162773037"</f>
        <v>FES1162773037</v>
      </c>
      <c r="C4234" s="21" t="s">
        <v>2490</v>
      </c>
      <c r="D4234" s="21">
        <v>0</v>
      </c>
      <c r="E4234" s="21" t="str">
        <f>"2170759817"</f>
        <v>2170759817</v>
      </c>
      <c r="F4234" s="21" t="s">
        <v>17</v>
      </c>
      <c r="G4234" s="21" t="s">
        <v>18</v>
      </c>
      <c r="H4234" s="21" t="s">
        <v>25</v>
      </c>
      <c r="I4234" s="21" t="s">
        <v>39</v>
      </c>
      <c r="J4234" s="21" t="s">
        <v>40</v>
      </c>
      <c r="K4234" s="21" t="s">
        <v>2520</v>
      </c>
      <c r="L4234" s="21"/>
      <c r="M4234" s="21" t="s">
        <v>23</v>
      </c>
      <c r="N4234" s="21" t="s">
        <v>24</v>
      </c>
      <c r="O4234" s="21"/>
    </row>
    <row r="4235" spans="1:15" x14ac:dyDescent="0.25">
      <c r="A4235" s="21" t="s">
        <v>15</v>
      </c>
      <c r="B4235" s="21" t="str">
        <f>"FES1162772955"</f>
        <v>FES1162772955</v>
      </c>
      <c r="C4235" s="21" t="s">
        <v>2490</v>
      </c>
      <c r="D4235" s="21">
        <v>0</v>
      </c>
      <c r="E4235" s="21" t="str">
        <f>"2170758378"</f>
        <v>2170758378</v>
      </c>
      <c r="F4235" s="21" t="s">
        <v>17</v>
      </c>
      <c r="G4235" s="21" t="s">
        <v>18</v>
      </c>
      <c r="H4235" s="21" t="s">
        <v>36</v>
      </c>
      <c r="I4235" s="21" t="s">
        <v>37</v>
      </c>
      <c r="J4235" s="21" t="s">
        <v>476</v>
      </c>
      <c r="K4235" s="21" t="s">
        <v>2520</v>
      </c>
      <c r="L4235" s="21"/>
      <c r="M4235" s="21" t="s">
        <v>23</v>
      </c>
      <c r="N4235" s="21" t="s">
        <v>24</v>
      </c>
      <c r="O4235" s="21"/>
    </row>
    <row r="4236" spans="1:15" x14ac:dyDescent="0.25">
      <c r="A4236" s="21" t="s">
        <v>15</v>
      </c>
      <c r="B4236" s="21" t="str">
        <f>"FES1162772979"</f>
        <v>FES1162772979</v>
      </c>
      <c r="C4236" s="21" t="s">
        <v>2490</v>
      </c>
      <c r="D4236" s="21">
        <v>0</v>
      </c>
      <c r="E4236" s="21" t="str">
        <f>"2170759738"</f>
        <v>2170759738</v>
      </c>
      <c r="F4236" s="21" t="s">
        <v>17</v>
      </c>
      <c r="G4236" s="21" t="s">
        <v>18</v>
      </c>
      <c r="H4236" s="21" t="s">
        <v>19</v>
      </c>
      <c r="I4236" s="21" t="s">
        <v>20</v>
      </c>
      <c r="J4236" s="21" t="s">
        <v>2208</v>
      </c>
      <c r="K4236" s="21" t="s">
        <v>2520</v>
      </c>
      <c r="L4236" s="21"/>
      <c r="M4236" s="21" t="s">
        <v>23</v>
      </c>
      <c r="N4236" s="21" t="s">
        <v>24</v>
      </c>
      <c r="O4236" s="21"/>
    </row>
    <row r="4237" spans="1:15" x14ac:dyDescent="0.25">
      <c r="A4237" s="21" t="s">
        <v>15</v>
      </c>
      <c r="B4237" s="21" t="str">
        <f>"FES1162772949"</f>
        <v>FES1162772949</v>
      </c>
      <c r="C4237" s="21" t="s">
        <v>2490</v>
      </c>
      <c r="D4237" s="21">
        <v>0</v>
      </c>
      <c r="E4237" s="21" t="str">
        <f>"2170759702"</f>
        <v>2170759702</v>
      </c>
      <c r="F4237" s="21" t="s">
        <v>17</v>
      </c>
      <c r="G4237" s="21" t="s">
        <v>18</v>
      </c>
      <c r="H4237" s="21" t="s">
        <v>36</v>
      </c>
      <c r="I4237" s="21" t="s">
        <v>37</v>
      </c>
      <c r="J4237" s="21" t="s">
        <v>2038</v>
      </c>
      <c r="K4237" s="21" t="s">
        <v>2520</v>
      </c>
      <c r="L4237" s="21"/>
      <c r="M4237" s="21" t="s">
        <v>23</v>
      </c>
      <c r="N4237" s="21" t="s">
        <v>24</v>
      </c>
      <c r="O4237" s="21"/>
    </row>
    <row r="4238" spans="1:15" x14ac:dyDescent="0.25">
      <c r="A4238" s="21" t="s">
        <v>15</v>
      </c>
      <c r="B4238" s="21" t="str">
        <f>"FES1162772930"</f>
        <v>FES1162772930</v>
      </c>
      <c r="C4238" s="21" t="s">
        <v>2490</v>
      </c>
      <c r="D4238" s="21">
        <v>0</v>
      </c>
      <c r="E4238" s="21" t="str">
        <f>"2170759078"</f>
        <v>2170759078</v>
      </c>
      <c r="F4238" s="21" t="s">
        <v>17</v>
      </c>
      <c r="G4238" s="21" t="s">
        <v>18</v>
      </c>
      <c r="H4238" s="21" t="s">
        <v>36</v>
      </c>
      <c r="I4238" s="21" t="s">
        <v>37</v>
      </c>
      <c r="J4238" s="21" t="s">
        <v>2572</v>
      </c>
      <c r="K4238" s="21" t="s">
        <v>2520</v>
      </c>
      <c r="L4238" s="21"/>
      <c r="M4238" s="21" t="s">
        <v>23</v>
      </c>
      <c r="N4238" s="21" t="s">
        <v>24</v>
      </c>
      <c r="O4238" s="21"/>
    </row>
    <row r="4239" spans="1:15" x14ac:dyDescent="0.25">
      <c r="A4239" s="21" t="s">
        <v>15</v>
      </c>
      <c r="B4239" s="21" t="str">
        <f>"FES1162773034"</f>
        <v>FES1162773034</v>
      </c>
      <c r="C4239" s="21" t="s">
        <v>2490</v>
      </c>
      <c r="D4239" s="21">
        <v>0</v>
      </c>
      <c r="E4239" s="21" t="str">
        <f>"2170759814"</f>
        <v>2170759814</v>
      </c>
      <c r="F4239" s="21" t="s">
        <v>17</v>
      </c>
      <c r="G4239" s="21" t="s">
        <v>18</v>
      </c>
      <c r="H4239" s="21" t="s">
        <v>25</v>
      </c>
      <c r="I4239" s="21" t="s">
        <v>26</v>
      </c>
      <c r="J4239" s="21" t="s">
        <v>75</v>
      </c>
      <c r="K4239" s="21" t="s">
        <v>2520</v>
      </c>
      <c r="L4239" s="21"/>
      <c r="M4239" s="21" t="s">
        <v>23</v>
      </c>
      <c r="N4239" s="21" t="s">
        <v>24</v>
      </c>
      <c r="O4239" s="21"/>
    </row>
    <row r="4240" spans="1:15" x14ac:dyDescent="0.25">
      <c r="A4240" s="21" t="s">
        <v>15</v>
      </c>
      <c r="B4240" s="21" t="str">
        <f>"FES1162773027"</f>
        <v>FES1162773027</v>
      </c>
      <c r="C4240" s="21" t="s">
        <v>2490</v>
      </c>
      <c r="D4240" s="21">
        <v>0</v>
      </c>
      <c r="E4240" s="21" t="str">
        <f>"2170759808"</f>
        <v>2170759808</v>
      </c>
      <c r="F4240" s="21" t="s">
        <v>17</v>
      </c>
      <c r="G4240" s="21" t="s">
        <v>18</v>
      </c>
      <c r="H4240" s="21" t="s">
        <v>18</v>
      </c>
      <c r="I4240" s="21" t="s">
        <v>82</v>
      </c>
      <c r="J4240" s="21" t="s">
        <v>83</v>
      </c>
      <c r="K4240" s="21" t="s">
        <v>2520</v>
      </c>
      <c r="L4240" s="21"/>
      <c r="M4240" s="21" t="s">
        <v>23</v>
      </c>
      <c r="N4240" s="21" t="s">
        <v>24</v>
      </c>
      <c r="O4240" s="21"/>
    </row>
    <row r="4241" spans="1:15" x14ac:dyDescent="0.25">
      <c r="A4241" s="21" t="s">
        <v>15</v>
      </c>
      <c r="B4241" s="21" t="str">
        <f>"FES1162772945"</f>
        <v>FES1162772945</v>
      </c>
      <c r="C4241" s="21" t="s">
        <v>2490</v>
      </c>
      <c r="D4241" s="21">
        <v>0</v>
      </c>
      <c r="E4241" s="21" t="str">
        <f>"2170759694"</f>
        <v>2170759694</v>
      </c>
      <c r="F4241" s="21" t="s">
        <v>17</v>
      </c>
      <c r="G4241" s="21" t="s">
        <v>18</v>
      </c>
      <c r="H4241" s="21" t="s">
        <v>33</v>
      </c>
      <c r="I4241" s="21" t="s">
        <v>34</v>
      </c>
      <c r="J4241" s="21" t="s">
        <v>371</v>
      </c>
      <c r="K4241" s="21" t="s">
        <v>2520</v>
      </c>
      <c r="L4241" s="21"/>
      <c r="M4241" s="21" t="s">
        <v>23</v>
      </c>
      <c r="N4241" s="21" t="s">
        <v>24</v>
      </c>
      <c r="O4241" s="21"/>
    </row>
    <row r="4242" spans="1:15" x14ac:dyDescent="0.25">
      <c r="A4242" s="21" t="s">
        <v>15</v>
      </c>
      <c r="B4242" s="21" t="str">
        <f>"FES1162772938"</f>
        <v>FES1162772938</v>
      </c>
      <c r="C4242" s="21" t="s">
        <v>2490</v>
      </c>
      <c r="D4242" s="21">
        <v>0</v>
      </c>
      <c r="E4242" s="21" t="str">
        <f>"2170759679"</f>
        <v>2170759679</v>
      </c>
      <c r="F4242" s="21" t="s">
        <v>17</v>
      </c>
      <c r="G4242" s="21" t="s">
        <v>18</v>
      </c>
      <c r="H4242" s="21" t="s">
        <v>33</v>
      </c>
      <c r="I4242" s="21" t="s">
        <v>34</v>
      </c>
      <c r="J4242" s="21" t="s">
        <v>647</v>
      </c>
      <c r="K4242" s="21" t="s">
        <v>2520</v>
      </c>
      <c r="L4242" s="21"/>
      <c r="M4242" s="21" t="s">
        <v>23</v>
      </c>
      <c r="N4242" s="21" t="s">
        <v>24</v>
      </c>
      <c r="O4242" s="21"/>
    </row>
    <row r="4243" spans="1:15" x14ac:dyDescent="0.25">
      <c r="A4243" s="21" t="s">
        <v>15</v>
      </c>
      <c r="B4243" s="21" t="str">
        <f>"FES1162773038"</f>
        <v>FES1162773038</v>
      </c>
      <c r="C4243" s="21" t="s">
        <v>2490</v>
      </c>
      <c r="D4243" s="21">
        <v>0</v>
      </c>
      <c r="E4243" s="21" t="str">
        <f>"2170759819"</f>
        <v>2170759819</v>
      </c>
      <c r="F4243" s="21" t="s">
        <v>17</v>
      </c>
      <c r="G4243" s="21" t="s">
        <v>18</v>
      </c>
      <c r="H4243" s="21" t="s">
        <v>30</v>
      </c>
      <c r="I4243" s="21" t="s">
        <v>444</v>
      </c>
      <c r="J4243" s="21" t="s">
        <v>445</v>
      </c>
      <c r="K4243" s="21" t="s">
        <v>2520</v>
      </c>
      <c r="L4243" s="21"/>
      <c r="M4243" s="21" t="s">
        <v>23</v>
      </c>
      <c r="N4243" s="21" t="s">
        <v>24</v>
      </c>
      <c r="O4243" s="21"/>
    </row>
    <row r="4244" spans="1:15" x14ac:dyDescent="0.25">
      <c r="A4244" s="21" t="s">
        <v>15</v>
      </c>
      <c r="B4244" s="21" t="str">
        <f>"FES1162773047"</f>
        <v>FES1162773047</v>
      </c>
      <c r="C4244" s="21" t="s">
        <v>2490</v>
      </c>
      <c r="D4244" s="21">
        <v>1</v>
      </c>
      <c r="E4244" s="21" t="str">
        <f>"2170755107"</f>
        <v>2170755107</v>
      </c>
      <c r="F4244" s="21" t="s">
        <v>17</v>
      </c>
      <c r="G4244" s="21" t="s">
        <v>18</v>
      </c>
      <c r="H4244" s="21" t="s">
        <v>18</v>
      </c>
      <c r="I4244" s="21" t="s">
        <v>794</v>
      </c>
      <c r="J4244" s="21" t="s">
        <v>1015</v>
      </c>
      <c r="K4244" s="21" t="s">
        <v>2520</v>
      </c>
      <c r="L4244" s="21"/>
      <c r="M4244" s="21" t="s">
        <v>23</v>
      </c>
      <c r="N4244" s="21" t="s">
        <v>24</v>
      </c>
      <c r="O4244" s="21"/>
    </row>
    <row r="4245" spans="1:15" x14ac:dyDescent="0.25">
      <c r="A4245" s="21" t="s">
        <v>15</v>
      </c>
      <c r="B4245" s="21" t="str">
        <f>"FES1162773046"</f>
        <v>FES1162773046</v>
      </c>
      <c r="C4245" s="21" t="s">
        <v>2490</v>
      </c>
      <c r="D4245" s="21">
        <v>1</v>
      </c>
      <c r="E4245" s="21" t="str">
        <f>"2170755108"</f>
        <v>2170755108</v>
      </c>
      <c r="F4245" s="21" t="s">
        <v>17</v>
      </c>
      <c r="G4245" s="21" t="s">
        <v>18</v>
      </c>
      <c r="H4245" s="21" t="s">
        <v>18</v>
      </c>
      <c r="I4245" s="21" t="s">
        <v>794</v>
      </c>
      <c r="J4245" s="21" t="s">
        <v>1015</v>
      </c>
      <c r="K4245" s="21" t="s">
        <v>2520</v>
      </c>
      <c r="L4245" s="21"/>
      <c r="M4245" s="21" t="s">
        <v>23</v>
      </c>
      <c r="N4245" s="21" t="s">
        <v>24</v>
      </c>
      <c r="O4245" s="21"/>
    </row>
    <row r="4246" spans="1:15" x14ac:dyDescent="0.25">
      <c r="A4246" s="2" t="s">
        <v>15</v>
      </c>
      <c r="B4246" s="2" t="str">
        <f>"FES1162773003"</f>
        <v>FES1162773003</v>
      </c>
      <c r="C4246" s="2" t="s">
        <v>2490</v>
      </c>
      <c r="D4246" s="2">
        <v>1</v>
      </c>
      <c r="E4246" s="2" t="str">
        <f>"2170759779"</f>
        <v>2170759779</v>
      </c>
      <c r="F4246" s="2" t="s">
        <v>17</v>
      </c>
      <c r="G4246" s="2" t="s">
        <v>18</v>
      </c>
      <c r="H4246" s="2" t="s">
        <v>36</v>
      </c>
      <c r="I4246" s="2" t="s">
        <v>37</v>
      </c>
      <c r="J4246" s="2" t="s">
        <v>376</v>
      </c>
      <c r="K4246" s="2" t="s">
        <v>2520</v>
      </c>
      <c r="L4246" s="3">
        <v>0.34097222222222223</v>
      </c>
      <c r="M4246" s="2" t="s">
        <v>1542</v>
      </c>
      <c r="N4246" s="2" t="s">
        <v>500</v>
      </c>
      <c r="O4246" s="2"/>
    </row>
    <row r="4247" spans="1:15" x14ac:dyDescent="0.25">
      <c r="A4247" s="21" t="s">
        <v>15</v>
      </c>
      <c r="B4247" s="21" t="str">
        <f>"FES1162773050"</f>
        <v>FES1162773050</v>
      </c>
      <c r="C4247" s="21" t="s">
        <v>2490</v>
      </c>
      <c r="D4247" s="21">
        <v>0</v>
      </c>
      <c r="E4247" s="21" t="str">
        <f>"2170759536"</f>
        <v>2170759536</v>
      </c>
      <c r="F4247" s="21" t="s">
        <v>17</v>
      </c>
      <c r="G4247" s="21" t="s">
        <v>18</v>
      </c>
      <c r="H4247" s="21" t="s">
        <v>25</v>
      </c>
      <c r="I4247" s="21" t="s">
        <v>42</v>
      </c>
      <c r="J4247" s="21" t="s">
        <v>43</v>
      </c>
      <c r="K4247" s="21" t="s">
        <v>2520</v>
      </c>
      <c r="L4247" s="21"/>
      <c r="M4247" s="21" t="s">
        <v>23</v>
      </c>
      <c r="N4247" s="21" t="s">
        <v>24</v>
      </c>
      <c r="O4247" s="21"/>
    </row>
    <row r="4248" spans="1:15" x14ac:dyDescent="0.25">
      <c r="A4248" s="21" t="s">
        <v>15</v>
      </c>
      <c r="B4248" s="21" t="str">
        <f>"FES1162773051"</f>
        <v>FES1162773051</v>
      </c>
      <c r="C4248" s="21" t="s">
        <v>2490</v>
      </c>
      <c r="D4248" s="21">
        <v>1</v>
      </c>
      <c r="E4248" s="21" t="str">
        <f>"2170759837"</f>
        <v>2170759837</v>
      </c>
      <c r="F4248" s="21" t="s">
        <v>17</v>
      </c>
      <c r="G4248" s="21" t="s">
        <v>18</v>
      </c>
      <c r="H4248" s="21" t="s">
        <v>33</v>
      </c>
      <c r="I4248" s="21" t="s">
        <v>34</v>
      </c>
      <c r="J4248" s="21" t="s">
        <v>400</v>
      </c>
      <c r="K4248" s="21" t="s">
        <v>2520</v>
      </c>
      <c r="L4248" s="21"/>
      <c r="M4248" s="21" t="s">
        <v>23</v>
      </c>
      <c r="N4248" s="21" t="s">
        <v>24</v>
      </c>
      <c r="O4248" s="21"/>
    </row>
    <row r="4249" spans="1:15" x14ac:dyDescent="0.25">
      <c r="A4249" s="21" t="s">
        <v>15</v>
      </c>
      <c r="B4249" s="21" t="str">
        <f>"FES1162773022"</f>
        <v>FES1162773022</v>
      </c>
      <c r="C4249" s="21" t="s">
        <v>2490</v>
      </c>
      <c r="D4249" s="21">
        <v>0</v>
      </c>
      <c r="E4249" s="21" t="str">
        <f>"2170756082"</f>
        <v>2170756082</v>
      </c>
      <c r="F4249" s="21" t="s">
        <v>17</v>
      </c>
      <c r="G4249" s="21" t="s">
        <v>18</v>
      </c>
      <c r="H4249" s="21" t="s">
        <v>33</v>
      </c>
      <c r="I4249" s="21" t="s">
        <v>34</v>
      </c>
      <c r="J4249" s="21" t="s">
        <v>400</v>
      </c>
      <c r="K4249" s="21" t="s">
        <v>2520</v>
      </c>
      <c r="L4249" s="21"/>
      <c r="M4249" s="21" t="s">
        <v>23</v>
      </c>
      <c r="N4249" s="21" t="s">
        <v>24</v>
      </c>
      <c r="O4249" s="21"/>
    </row>
    <row r="4250" spans="1:15" x14ac:dyDescent="0.25">
      <c r="A4250" s="21" t="s">
        <v>15</v>
      </c>
      <c r="B4250" s="21" t="str">
        <f>"FES1162773049"</f>
        <v>FES1162773049</v>
      </c>
      <c r="C4250" s="21" t="s">
        <v>2490</v>
      </c>
      <c r="D4250" s="21">
        <v>0</v>
      </c>
      <c r="E4250" s="21" t="str">
        <f>"2170759829"</f>
        <v>2170759829</v>
      </c>
      <c r="F4250" s="21" t="s">
        <v>17</v>
      </c>
      <c r="G4250" s="21" t="s">
        <v>18</v>
      </c>
      <c r="H4250" s="21" t="s">
        <v>18</v>
      </c>
      <c r="I4250" s="21" t="s">
        <v>57</v>
      </c>
      <c r="J4250" s="21" t="s">
        <v>58</v>
      </c>
      <c r="K4250" s="21" t="s">
        <v>2520</v>
      </c>
      <c r="L4250" s="21"/>
      <c r="M4250" s="21" t="s">
        <v>23</v>
      </c>
      <c r="N4250" s="21" t="s">
        <v>24</v>
      </c>
      <c r="O4250" s="21"/>
    </row>
    <row r="4251" spans="1:15" x14ac:dyDescent="0.25">
      <c r="A4251" s="21" t="s">
        <v>15</v>
      </c>
      <c r="B4251" s="21" t="str">
        <f>"FES1162773014"</f>
        <v>FES1162773014</v>
      </c>
      <c r="C4251" s="21" t="s">
        <v>2490</v>
      </c>
      <c r="D4251" s="21">
        <v>1</v>
      </c>
      <c r="E4251" s="21" t="str">
        <f>"2170759791"</f>
        <v>2170759791</v>
      </c>
      <c r="F4251" s="21" t="s">
        <v>17</v>
      </c>
      <c r="G4251" s="21" t="s">
        <v>18</v>
      </c>
      <c r="H4251" s="21" t="s">
        <v>18</v>
      </c>
      <c r="I4251" s="21" t="s">
        <v>46</v>
      </c>
      <c r="J4251" s="21" t="s">
        <v>59</v>
      </c>
      <c r="K4251" s="21" t="s">
        <v>2520</v>
      </c>
      <c r="L4251" s="21"/>
      <c r="M4251" s="21" t="s">
        <v>23</v>
      </c>
      <c r="N4251" s="21" t="s">
        <v>24</v>
      </c>
      <c r="O4251" s="21"/>
    </row>
    <row r="4252" spans="1:15" x14ac:dyDescent="0.25">
      <c r="A4252" s="2" t="s">
        <v>15</v>
      </c>
      <c r="B4252" s="2" t="str">
        <f>"FES1162773033"</f>
        <v>FES1162773033</v>
      </c>
      <c r="C4252" s="2" t="s">
        <v>2490</v>
      </c>
      <c r="D4252" s="2">
        <v>1</v>
      </c>
      <c r="E4252" s="2" t="str">
        <f>"2170759813"</f>
        <v>2170759813</v>
      </c>
      <c r="F4252" s="2" t="s">
        <v>17</v>
      </c>
      <c r="G4252" s="2" t="s">
        <v>18</v>
      </c>
      <c r="H4252" s="2" t="s">
        <v>18</v>
      </c>
      <c r="I4252" s="2" t="s">
        <v>46</v>
      </c>
      <c r="J4252" s="2" t="s">
        <v>2573</v>
      </c>
      <c r="K4252" s="2" t="s">
        <v>2520</v>
      </c>
      <c r="L4252" s="3">
        <v>0.34375</v>
      </c>
      <c r="M4252" s="2" t="s">
        <v>2574</v>
      </c>
      <c r="N4252" s="2" t="s">
        <v>500</v>
      </c>
      <c r="O4252" s="2"/>
    </row>
    <row r="4253" spans="1:15" x14ac:dyDescent="0.25">
      <c r="A4253" s="21" t="s">
        <v>15</v>
      </c>
      <c r="B4253" s="21" t="str">
        <f>"FES1162773052"</f>
        <v>FES1162773052</v>
      </c>
      <c r="C4253" s="21" t="s">
        <v>2490</v>
      </c>
      <c r="D4253" s="21">
        <v>1</v>
      </c>
      <c r="E4253" s="21" t="str">
        <f>"2170759838"</f>
        <v>2170759838</v>
      </c>
      <c r="F4253" s="21" t="s">
        <v>17</v>
      </c>
      <c r="G4253" s="21" t="s">
        <v>18</v>
      </c>
      <c r="H4253" s="21" t="s">
        <v>18</v>
      </c>
      <c r="I4253" s="21" t="s">
        <v>107</v>
      </c>
      <c r="J4253" s="21" t="s">
        <v>108</v>
      </c>
      <c r="K4253" s="21" t="s">
        <v>2520</v>
      </c>
      <c r="L4253" s="21"/>
      <c r="M4253" s="21" t="s">
        <v>23</v>
      </c>
      <c r="N4253" s="21" t="s">
        <v>24</v>
      </c>
      <c r="O4253" s="21"/>
    </row>
    <row r="4254" spans="1:15" x14ac:dyDescent="0.25">
      <c r="A4254" s="21" t="s">
        <v>15</v>
      </c>
      <c r="B4254" s="21" t="str">
        <f>"FES1162773040"</f>
        <v>FES1162773040</v>
      </c>
      <c r="C4254" s="21" t="s">
        <v>2490</v>
      </c>
      <c r="D4254" s="21">
        <v>1</v>
      </c>
      <c r="E4254" s="21" t="str">
        <f>"2170759822"</f>
        <v>2170759822</v>
      </c>
      <c r="F4254" s="21" t="s">
        <v>17</v>
      </c>
      <c r="G4254" s="21" t="s">
        <v>18</v>
      </c>
      <c r="H4254" s="21" t="s">
        <v>36</v>
      </c>
      <c r="I4254" s="21" t="s">
        <v>37</v>
      </c>
      <c r="J4254" s="21" t="s">
        <v>55</v>
      </c>
      <c r="K4254" s="21" t="s">
        <v>2520</v>
      </c>
      <c r="L4254" s="21"/>
      <c r="M4254" s="21" t="s">
        <v>23</v>
      </c>
      <c r="N4254" s="21" t="s">
        <v>24</v>
      </c>
      <c r="O4254" s="21"/>
    </row>
    <row r="4255" spans="1:15" x14ac:dyDescent="0.25">
      <c r="A4255" s="21" t="s">
        <v>15</v>
      </c>
      <c r="B4255" s="21" t="str">
        <f>"FES1162773054"</f>
        <v>FES1162773054</v>
      </c>
      <c r="C4255" s="21" t="s">
        <v>2490</v>
      </c>
      <c r="D4255" s="21">
        <v>0</v>
      </c>
      <c r="E4255" s="21" t="str">
        <f>"2170759840"</f>
        <v>2170759840</v>
      </c>
      <c r="F4255" s="21" t="s">
        <v>17</v>
      </c>
      <c r="G4255" s="21" t="s">
        <v>18</v>
      </c>
      <c r="H4255" s="21" t="s">
        <v>36</v>
      </c>
      <c r="I4255" s="21" t="s">
        <v>37</v>
      </c>
      <c r="J4255" s="21" t="s">
        <v>104</v>
      </c>
      <c r="K4255" s="21" t="s">
        <v>2520</v>
      </c>
      <c r="L4255" s="21"/>
      <c r="M4255" s="21" t="s">
        <v>23</v>
      </c>
      <c r="N4255" s="21" t="s">
        <v>24</v>
      </c>
      <c r="O4255" s="21"/>
    </row>
    <row r="4256" spans="1:15" x14ac:dyDescent="0.25">
      <c r="A4256" s="21" t="s">
        <v>15</v>
      </c>
      <c r="B4256" s="21" t="str">
        <f>"FES1162773056"</f>
        <v>FES1162773056</v>
      </c>
      <c r="C4256" s="21" t="s">
        <v>2490</v>
      </c>
      <c r="D4256" s="21">
        <v>0</v>
      </c>
      <c r="E4256" s="21" t="str">
        <f>"2170759843"</f>
        <v>2170759843</v>
      </c>
      <c r="F4256" s="21" t="s">
        <v>17</v>
      </c>
      <c r="G4256" s="21" t="s">
        <v>18</v>
      </c>
      <c r="H4256" s="21" t="s">
        <v>36</v>
      </c>
      <c r="I4256" s="21" t="s">
        <v>37</v>
      </c>
      <c r="J4256" s="21" t="s">
        <v>104</v>
      </c>
      <c r="K4256" s="21" t="s">
        <v>2520</v>
      </c>
      <c r="L4256" s="21"/>
      <c r="M4256" s="21" t="s">
        <v>23</v>
      </c>
      <c r="N4256" s="21" t="s">
        <v>24</v>
      </c>
      <c r="O4256" s="21"/>
    </row>
    <row r="4257" spans="1:15" x14ac:dyDescent="0.25">
      <c r="A4257" s="21" t="s">
        <v>15</v>
      </c>
      <c r="B4257" s="21" t="str">
        <f>"FES1162773021"</f>
        <v>FES1162773021</v>
      </c>
      <c r="C4257" s="21" t="s">
        <v>2490</v>
      </c>
      <c r="D4257" s="21">
        <v>1</v>
      </c>
      <c r="E4257" s="21" t="str">
        <f>"2170759802"</f>
        <v>2170759802</v>
      </c>
      <c r="F4257" s="21" t="s">
        <v>17</v>
      </c>
      <c r="G4257" s="21" t="s">
        <v>18</v>
      </c>
      <c r="H4257" s="21" t="s">
        <v>18</v>
      </c>
      <c r="I4257" s="21" t="s">
        <v>57</v>
      </c>
      <c r="J4257" s="21" t="s">
        <v>2575</v>
      </c>
      <c r="K4257" s="21" t="s">
        <v>2520</v>
      </c>
      <c r="L4257" s="21"/>
      <c r="M4257" s="21" t="s">
        <v>23</v>
      </c>
      <c r="N4257" s="21" t="s">
        <v>24</v>
      </c>
      <c r="O4257" s="21"/>
    </row>
    <row r="4258" spans="1:15" x14ac:dyDescent="0.25">
      <c r="A4258" s="21" t="s">
        <v>15</v>
      </c>
      <c r="B4258" s="21" t="str">
        <f>"FES1162773030"</f>
        <v>FES1162773030</v>
      </c>
      <c r="C4258" s="21" t="s">
        <v>2490</v>
      </c>
      <c r="D4258" s="21">
        <v>1</v>
      </c>
      <c r="E4258" s="21" t="str">
        <f>"2170753889"</f>
        <v>2170753889</v>
      </c>
      <c r="F4258" s="21" t="s">
        <v>17</v>
      </c>
      <c r="G4258" s="21" t="s">
        <v>18</v>
      </c>
      <c r="H4258" s="21" t="s">
        <v>18</v>
      </c>
      <c r="I4258" s="21" t="s">
        <v>82</v>
      </c>
      <c r="J4258" s="21" t="s">
        <v>1707</v>
      </c>
      <c r="K4258" s="21" t="s">
        <v>2520</v>
      </c>
      <c r="L4258" s="21"/>
      <c r="M4258" s="21" t="s">
        <v>23</v>
      </c>
      <c r="N4258" s="21" t="s">
        <v>24</v>
      </c>
      <c r="O4258" s="21"/>
    </row>
    <row r="4259" spans="1:15" x14ac:dyDescent="0.25">
      <c r="A4259" s="21" t="s">
        <v>15</v>
      </c>
      <c r="B4259" s="21" t="str">
        <f>"FES1162773062"</f>
        <v>FES1162773062</v>
      </c>
      <c r="C4259" s="21" t="s">
        <v>2490</v>
      </c>
      <c r="D4259" s="21">
        <v>0</v>
      </c>
      <c r="E4259" s="21" t="str">
        <f>"2170759853"</f>
        <v>2170759853</v>
      </c>
      <c r="F4259" s="21" t="s">
        <v>17</v>
      </c>
      <c r="G4259" s="21" t="s">
        <v>18</v>
      </c>
      <c r="H4259" s="21" t="s">
        <v>36</v>
      </c>
      <c r="I4259" s="21" t="s">
        <v>37</v>
      </c>
      <c r="J4259" s="21" t="s">
        <v>1960</v>
      </c>
      <c r="K4259" s="21" t="s">
        <v>2520</v>
      </c>
      <c r="L4259" s="21"/>
      <c r="M4259" s="21" t="s">
        <v>23</v>
      </c>
      <c r="N4259" s="21" t="s">
        <v>24</v>
      </c>
      <c r="O4259" s="21"/>
    </row>
    <row r="4260" spans="1:15" x14ac:dyDescent="0.25">
      <c r="A4260" s="21" t="s">
        <v>15</v>
      </c>
      <c r="B4260" s="21" t="str">
        <f>"FES1162773053"</f>
        <v>FES1162773053</v>
      </c>
      <c r="C4260" s="21" t="s">
        <v>2490</v>
      </c>
      <c r="D4260" s="21">
        <v>1</v>
      </c>
      <c r="E4260" s="21" t="str">
        <f>"2170759839"</f>
        <v>2170759839</v>
      </c>
      <c r="F4260" s="21" t="s">
        <v>17</v>
      </c>
      <c r="G4260" s="21" t="s">
        <v>18</v>
      </c>
      <c r="H4260" s="21" t="s">
        <v>18</v>
      </c>
      <c r="I4260" s="21" t="s">
        <v>82</v>
      </c>
      <c r="J4260" s="21" t="s">
        <v>83</v>
      </c>
      <c r="K4260" s="21" t="s">
        <v>2520</v>
      </c>
      <c r="L4260" s="21"/>
      <c r="M4260" s="21" t="s">
        <v>23</v>
      </c>
      <c r="N4260" s="21" t="s">
        <v>24</v>
      </c>
      <c r="O4260" s="21"/>
    </row>
    <row r="4261" spans="1:15" x14ac:dyDescent="0.25">
      <c r="A4261" s="21" t="s">
        <v>15</v>
      </c>
      <c r="B4261" s="21" t="str">
        <f>"FES1162773101"</f>
        <v>FES1162773101</v>
      </c>
      <c r="C4261" s="21" t="s">
        <v>2490</v>
      </c>
      <c r="D4261" s="21">
        <v>1</v>
      </c>
      <c r="E4261" s="21" t="str">
        <f>"21707589380"</f>
        <v>21707589380</v>
      </c>
      <c r="F4261" s="21" t="s">
        <v>17</v>
      </c>
      <c r="G4261" s="21" t="s">
        <v>18</v>
      </c>
      <c r="H4261" s="21" t="s">
        <v>25</v>
      </c>
      <c r="I4261" s="21" t="s">
        <v>39</v>
      </c>
      <c r="J4261" s="21" t="s">
        <v>40</v>
      </c>
      <c r="K4261" s="21" t="s">
        <v>2520</v>
      </c>
      <c r="L4261" s="21"/>
      <c r="M4261" s="21" t="s">
        <v>23</v>
      </c>
      <c r="N4261" s="21" t="s">
        <v>24</v>
      </c>
      <c r="O4261" s="21"/>
    </row>
    <row r="4262" spans="1:15" x14ac:dyDescent="0.25">
      <c r="A4262" s="21" t="s">
        <v>15</v>
      </c>
      <c r="B4262" s="21" t="str">
        <f>"FES1162773105"</f>
        <v>FES1162773105</v>
      </c>
      <c r="C4262" s="21" t="s">
        <v>2490</v>
      </c>
      <c r="D4262" s="21">
        <v>1</v>
      </c>
      <c r="E4262" s="21" t="str">
        <f>"2170759884"</f>
        <v>2170759884</v>
      </c>
      <c r="F4262" s="21" t="s">
        <v>17</v>
      </c>
      <c r="G4262" s="21" t="s">
        <v>18</v>
      </c>
      <c r="H4262" s="21" t="s">
        <v>36</v>
      </c>
      <c r="I4262" s="21" t="s">
        <v>37</v>
      </c>
      <c r="J4262" s="21" t="s">
        <v>162</v>
      </c>
      <c r="K4262" s="21" t="s">
        <v>2520</v>
      </c>
      <c r="L4262" s="21"/>
      <c r="M4262" s="21" t="s">
        <v>23</v>
      </c>
      <c r="N4262" s="21" t="s">
        <v>24</v>
      </c>
      <c r="O4262" s="21"/>
    </row>
    <row r="4263" spans="1:15" x14ac:dyDescent="0.25">
      <c r="A4263" s="21" t="s">
        <v>15</v>
      </c>
      <c r="B4263" s="21" t="str">
        <f>"FES1162773096"</f>
        <v>FES1162773096</v>
      </c>
      <c r="C4263" s="21" t="s">
        <v>2490</v>
      </c>
      <c r="D4263" s="21">
        <v>1</v>
      </c>
      <c r="E4263" s="21" t="str">
        <f>"2170759507"</f>
        <v>2170759507</v>
      </c>
      <c r="F4263" s="21" t="s">
        <v>17</v>
      </c>
      <c r="G4263" s="21" t="s">
        <v>18</v>
      </c>
      <c r="H4263" s="21" t="s">
        <v>18</v>
      </c>
      <c r="I4263" s="21" t="s">
        <v>52</v>
      </c>
      <c r="J4263" s="21" t="s">
        <v>2576</v>
      </c>
      <c r="K4263" s="21" t="s">
        <v>2520</v>
      </c>
      <c r="L4263" s="21"/>
      <c r="M4263" s="21" t="s">
        <v>23</v>
      </c>
      <c r="N4263" s="21" t="s">
        <v>24</v>
      </c>
      <c r="O4263" s="21"/>
    </row>
    <row r="4264" spans="1:15" x14ac:dyDescent="0.25">
      <c r="A4264" s="21" t="s">
        <v>15</v>
      </c>
      <c r="B4264" s="21" t="str">
        <f>"FES1162773095"</f>
        <v>FES1162773095</v>
      </c>
      <c r="C4264" s="21" t="s">
        <v>2490</v>
      </c>
      <c r="D4264" s="21">
        <v>1</v>
      </c>
      <c r="E4264" s="21" t="str">
        <f>"2170758043"</f>
        <v>2170758043</v>
      </c>
      <c r="F4264" s="21" t="s">
        <v>17</v>
      </c>
      <c r="G4264" s="21" t="s">
        <v>18</v>
      </c>
      <c r="H4264" s="21" t="s">
        <v>18</v>
      </c>
      <c r="I4264" s="21" t="s">
        <v>116</v>
      </c>
      <c r="J4264" s="21" t="s">
        <v>2577</v>
      </c>
      <c r="K4264" s="21" t="s">
        <v>2520</v>
      </c>
      <c r="L4264" s="21"/>
      <c r="M4264" s="21" t="s">
        <v>23</v>
      </c>
      <c r="N4264" s="21" t="s">
        <v>24</v>
      </c>
      <c r="O4264" s="21"/>
    </row>
    <row r="4265" spans="1:15" x14ac:dyDescent="0.25">
      <c r="A4265" s="21" t="s">
        <v>15</v>
      </c>
      <c r="B4265" s="21" t="str">
        <f>"FES1162773060"</f>
        <v>FES1162773060</v>
      </c>
      <c r="C4265" s="21" t="s">
        <v>2490</v>
      </c>
      <c r="D4265" s="21">
        <v>1</v>
      </c>
      <c r="E4265" s="21" t="str">
        <f>"2170759849"</f>
        <v>2170759849</v>
      </c>
      <c r="F4265" s="21" t="s">
        <v>17</v>
      </c>
      <c r="G4265" s="21" t="s">
        <v>18</v>
      </c>
      <c r="H4265" s="21" t="s">
        <v>78</v>
      </c>
      <c r="I4265" s="21" t="s">
        <v>79</v>
      </c>
      <c r="J4265" s="21" t="s">
        <v>80</v>
      </c>
      <c r="K4265" s="21" t="s">
        <v>2520</v>
      </c>
      <c r="L4265" s="21"/>
      <c r="M4265" s="21" t="s">
        <v>23</v>
      </c>
      <c r="N4265" s="21" t="s">
        <v>24</v>
      </c>
      <c r="O4265" s="21"/>
    </row>
    <row r="4266" spans="1:15" x14ac:dyDescent="0.25">
      <c r="A4266" s="21" t="s">
        <v>15</v>
      </c>
      <c r="B4266" s="21" t="str">
        <f>"FES1162773068"</f>
        <v>FES1162773068</v>
      </c>
      <c r="C4266" s="21" t="s">
        <v>2490</v>
      </c>
      <c r="D4266" s="21">
        <v>1</v>
      </c>
      <c r="E4266" s="21" t="str">
        <f>"2170758822"</f>
        <v>2170758822</v>
      </c>
      <c r="F4266" s="21" t="s">
        <v>17</v>
      </c>
      <c r="G4266" s="21" t="s">
        <v>18</v>
      </c>
      <c r="H4266" s="21" t="s">
        <v>18</v>
      </c>
      <c r="I4266" s="21" t="s">
        <v>63</v>
      </c>
      <c r="J4266" s="21" t="s">
        <v>884</v>
      </c>
      <c r="K4266" s="21" t="s">
        <v>2520</v>
      </c>
      <c r="L4266" s="21"/>
      <c r="M4266" s="21" t="s">
        <v>23</v>
      </c>
      <c r="N4266" s="21" t="s">
        <v>24</v>
      </c>
      <c r="O4266" s="21"/>
    </row>
    <row r="4267" spans="1:15" x14ac:dyDescent="0.25">
      <c r="A4267" s="21" t="s">
        <v>15</v>
      </c>
      <c r="B4267" s="21" t="str">
        <f>"FES1162773082"</f>
        <v>FES1162773082</v>
      </c>
      <c r="C4267" s="21" t="s">
        <v>2490</v>
      </c>
      <c r="D4267" s="21">
        <v>1</v>
      </c>
      <c r="E4267" s="21" t="str">
        <f>"2170759328"</f>
        <v>2170759328</v>
      </c>
      <c r="F4267" s="21" t="s">
        <v>17</v>
      </c>
      <c r="G4267" s="21" t="s">
        <v>18</v>
      </c>
      <c r="H4267" s="21" t="s">
        <v>18</v>
      </c>
      <c r="I4267" s="21" t="s">
        <v>57</v>
      </c>
      <c r="J4267" s="21" t="s">
        <v>888</v>
      </c>
      <c r="K4267" s="21" t="s">
        <v>2520</v>
      </c>
      <c r="L4267" s="21"/>
      <c r="M4267" s="21" t="s">
        <v>23</v>
      </c>
      <c r="N4267" s="21" t="s">
        <v>24</v>
      </c>
      <c r="O4267" s="21"/>
    </row>
    <row r="4268" spans="1:15" x14ac:dyDescent="0.25">
      <c r="A4268" s="2" t="s">
        <v>15</v>
      </c>
      <c r="B4268" s="2" t="str">
        <f>"FES1162773071"</f>
        <v>FES1162773071</v>
      </c>
      <c r="C4268" s="2" t="s">
        <v>2490</v>
      </c>
      <c r="D4268" s="2">
        <v>1</v>
      </c>
      <c r="E4268" s="2" t="str">
        <f>"2170759834"</f>
        <v>2170759834</v>
      </c>
      <c r="F4268" s="2" t="s">
        <v>17</v>
      </c>
      <c r="G4268" s="2" t="s">
        <v>18</v>
      </c>
      <c r="H4268" s="2" t="s">
        <v>19</v>
      </c>
      <c r="I4268" s="2" t="s">
        <v>111</v>
      </c>
      <c r="J4268" s="2" t="s">
        <v>143</v>
      </c>
      <c r="K4268" s="2" t="s">
        <v>2520</v>
      </c>
      <c r="L4268" s="3">
        <v>0.36319444444444443</v>
      </c>
      <c r="M4268" s="2" t="s">
        <v>1601</v>
      </c>
      <c r="N4268" s="2" t="s">
        <v>500</v>
      </c>
      <c r="O4268" s="2"/>
    </row>
    <row r="4269" spans="1:15" x14ac:dyDescent="0.25">
      <c r="A4269" s="21" t="s">
        <v>15</v>
      </c>
      <c r="B4269" s="21" t="str">
        <f>"FES1162773079"</f>
        <v>FES1162773079</v>
      </c>
      <c r="C4269" s="21" t="s">
        <v>2490</v>
      </c>
      <c r="D4269" s="21">
        <v>1</v>
      </c>
      <c r="E4269" s="21" t="str">
        <f>"2170757145"</f>
        <v>2170757145</v>
      </c>
      <c r="F4269" s="21" t="s">
        <v>17</v>
      </c>
      <c r="G4269" s="21" t="s">
        <v>18</v>
      </c>
      <c r="H4269" s="21" t="s">
        <v>36</v>
      </c>
      <c r="I4269" s="21" t="s">
        <v>37</v>
      </c>
      <c r="J4269" s="21" t="s">
        <v>2202</v>
      </c>
      <c r="K4269" s="21" t="s">
        <v>2520</v>
      </c>
      <c r="L4269" s="21"/>
      <c r="M4269" s="21" t="s">
        <v>23</v>
      </c>
      <c r="N4269" s="21" t="s">
        <v>24</v>
      </c>
      <c r="O4269" s="21"/>
    </row>
    <row r="4270" spans="1:15" x14ac:dyDescent="0.25">
      <c r="A4270" s="21" t="s">
        <v>15</v>
      </c>
      <c r="B4270" s="21" t="str">
        <f>"FES1162773089"</f>
        <v>FES1162773089</v>
      </c>
      <c r="C4270" s="21" t="s">
        <v>2490</v>
      </c>
      <c r="D4270" s="21">
        <v>1</v>
      </c>
      <c r="E4270" s="21" t="str">
        <f>"2170759595"</f>
        <v>2170759595</v>
      </c>
      <c r="F4270" s="21" t="s">
        <v>17</v>
      </c>
      <c r="G4270" s="21" t="s">
        <v>18</v>
      </c>
      <c r="H4270" s="21" t="s">
        <v>36</v>
      </c>
      <c r="I4270" s="21" t="s">
        <v>1129</v>
      </c>
      <c r="J4270" s="21" t="s">
        <v>1130</v>
      </c>
      <c r="K4270" s="21" t="s">
        <v>2520</v>
      </c>
      <c r="L4270" s="21"/>
      <c r="M4270" s="21" t="s">
        <v>23</v>
      </c>
      <c r="N4270" s="21" t="s">
        <v>24</v>
      </c>
      <c r="O4270" s="21"/>
    </row>
    <row r="4271" spans="1:15" x14ac:dyDescent="0.25">
      <c r="A4271" s="21" t="s">
        <v>15</v>
      </c>
      <c r="B4271" s="21" t="str">
        <f>"FES1162773066"</f>
        <v>FES1162773066</v>
      </c>
      <c r="C4271" s="21" t="s">
        <v>2490</v>
      </c>
      <c r="D4271" s="21">
        <v>1</v>
      </c>
      <c r="E4271" s="21" t="str">
        <f>"2170759855"</f>
        <v>2170759855</v>
      </c>
      <c r="F4271" s="21" t="s">
        <v>17</v>
      </c>
      <c r="G4271" s="21" t="s">
        <v>18</v>
      </c>
      <c r="H4271" s="21" t="s">
        <v>19</v>
      </c>
      <c r="I4271" s="21" t="s">
        <v>73</v>
      </c>
      <c r="J4271" s="21" t="s">
        <v>76</v>
      </c>
      <c r="K4271" s="21" t="s">
        <v>2520</v>
      </c>
      <c r="L4271" s="21"/>
      <c r="M4271" s="21" t="s">
        <v>23</v>
      </c>
      <c r="N4271" s="21" t="s">
        <v>24</v>
      </c>
      <c r="O4271" s="21"/>
    </row>
    <row r="4272" spans="1:15" x14ac:dyDescent="0.25">
      <c r="A4272" s="21" t="s">
        <v>15</v>
      </c>
      <c r="B4272" s="21" t="str">
        <f>"FES1162773083"</f>
        <v>FES1162773083</v>
      </c>
      <c r="C4272" s="21" t="s">
        <v>2490</v>
      </c>
      <c r="D4272" s="21">
        <v>1</v>
      </c>
      <c r="E4272" s="21" t="str">
        <f>"2170759329"</f>
        <v>2170759329</v>
      </c>
      <c r="F4272" s="21" t="s">
        <v>17</v>
      </c>
      <c r="G4272" s="21" t="s">
        <v>18</v>
      </c>
      <c r="H4272" s="21" t="s">
        <v>18</v>
      </c>
      <c r="I4272" s="21" t="s">
        <v>57</v>
      </c>
      <c r="J4272" s="21" t="s">
        <v>888</v>
      </c>
      <c r="K4272" s="21" t="s">
        <v>2520</v>
      </c>
      <c r="L4272" s="21"/>
      <c r="M4272" s="21" t="s">
        <v>23</v>
      </c>
      <c r="N4272" s="21" t="s">
        <v>24</v>
      </c>
      <c r="O4272" s="21"/>
    </row>
    <row r="4273" spans="1:15" x14ac:dyDescent="0.25">
      <c r="A4273" s="21" t="s">
        <v>15</v>
      </c>
      <c r="B4273" s="21" t="str">
        <f>"FES1162773085"</f>
        <v>FES1162773085</v>
      </c>
      <c r="C4273" s="21" t="s">
        <v>2490</v>
      </c>
      <c r="D4273" s="21">
        <v>1</v>
      </c>
      <c r="E4273" s="21" t="str">
        <f>"2170759537"</f>
        <v>2170759537</v>
      </c>
      <c r="F4273" s="21" t="s">
        <v>17</v>
      </c>
      <c r="G4273" s="21" t="s">
        <v>18</v>
      </c>
      <c r="H4273" s="21" t="s">
        <v>18</v>
      </c>
      <c r="I4273" s="21" t="s">
        <v>57</v>
      </c>
      <c r="J4273" s="21" t="s">
        <v>1616</v>
      </c>
      <c r="K4273" s="21" t="s">
        <v>2520</v>
      </c>
      <c r="L4273" s="21"/>
      <c r="M4273" s="21" t="s">
        <v>23</v>
      </c>
      <c r="N4273" s="21" t="s">
        <v>24</v>
      </c>
      <c r="O4273" s="21"/>
    </row>
    <row r="4274" spans="1:15" x14ac:dyDescent="0.25">
      <c r="A4274" s="21" t="s">
        <v>15</v>
      </c>
      <c r="B4274" s="21" t="str">
        <f>"FES1162773065"</f>
        <v>FES1162773065</v>
      </c>
      <c r="C4274" s="21" t="s">
        <v>2490</v>
      </c>
      <c r="D4274" s="21">
        <v>1</v>
      </c>
      <c r="E4274" s="21" t="str">
        <f>"2170757861"</f>
        <v>2170757861</v>
      </c>
      <c r="F4274" s="21" t="s">
        <v>17</v>
      </c>
      <c r="G4274" s="21" t="s">
        <v>18</v>
      </c>
      <c r="H4274" s="21" t="s">
        <v>18</v>
      </c>
      <c r="I4274" s="21" t="s">
        <v>50</v>
      </c>
      <c r="J4274" s="21" t="s">
        <v>665</v>
      </c>
      <c r="K4274" s="21" t="s">
        <v>2520</v>
      </c>
      <c r="L4274" s="21"/>
      <c r="M4274" s="21" t="s">
        <v>23</v>
      </c>
      <c r="N4274" s="21" t="s">
        <v>24</v>
      </c>
      <c r="O4274" s="21"/>
    </row>
    <row r="4275" spans="1:15" x14ac:dyDescent="0.25">
      <c r="A4275" s="21" t="s">
        <v>15</v>
      </c>
      <c r="B4275" s="21" t="str">
        <f>"FES1162773074"</f>
        <v>FES1162773074</v>
      </c>
      <c r="C4275" s="21" t="s">
        <v>2490</v>
      </c>
      <c r="D4275" s="21">
        <v>1</v>
      </c>
      <c r="E4275" s="21" t="str">
        <f>"2170759859"</f>
        <v>2170759859</v>
      </c>
      <c r="F4275" s="21" t="s">
        <v>17</v>
      </c>
      <c r="G4275" s="21" t="s">
        <v>18</v>
      </c>
      <c r="H4275" s="21" t="s">
        <v>78</v>
      </c>
      <c r="I4275" s="21" t="s">
        <v>79</v>
      </c>
      <c r="J4275" s="21" t="s">
        <v>80</v>
      </c>
      <c r="K4275" s="21" t="s">
        <v>2520</v>
      </c>
      <c r="L4275" s="21"/>
      <c r="M4275" s="21" t="s">
        <v>23</v>
      </c>
      <c r="N4275" s="21" t="s">
        <v>24</v>
      </c>
      <c r="O4275" s="21"/>
    </row>
    <row r="4276" spans="1:15" x14ac:dyDescent="0.25">
      <c r="A4276" s="21" t="s">
        <v>15</v>
      </c>
      <c r="B4276" s="21" t="str">
        <f>"FES1162773088"</f>
        <v>FES1162773088</v>
      </c>
      <c r="C4276" s="21" t="s">
        <v>2490</v>
      </c>
      <c r="D4276" s="21">
        <v>1</v>
      </c>
      <c r="E4276" s="21" t="str">
        <f>"2170759564"</f>
        <v>2170759564</v>
      </c>
      <c r="F4276" s="21" t="s">
        <v>17</v>
      </c>
      <c r="G4276" s="21" t="s">
        <v>18</v>
      </c>
      <c r="H4276" s="21" t="s">
        <v>18</v>
      </c>
      <c r="I4276" s="21" t="s">
        <v>57</v>
      </c>
      <c r="J4276" s="21" t="s">
        <v>888</v>
      </c>
      <c r="K4276" s="21" t="s">
        <v>2520</v>
      </c>
      <c r="L4276" s="21"/>
      <c r="M4276" s="21" t="s">
        <v>23</v>
      </c>
      <c r="N4276" s="21" t="s">
        <v>24</v>
      </c>
      <c r="O4276" s="21"/>
    </row>
    <row r="4277" spans="1:15" x14ac:dyDescent="0.25">
      <c r="A4277" s="21" t="s">
        <v>15</v>
      </c>
      <c r="B4277" s="21" t="str">
        <f>"FES1162773091"</f>
        <v>FES1162773091</v>
      </c>
      <c r="C4277" s="21" t="s">
        <v>2490</v>
      </c>
      <c r="D4277" s="21">
        <v>1</v>
      </c>
      <c r="E4277" s="21" t="str">
        <f>"2170759868"</f>
        <v>2170759868</v>
      </c>
      <c r="F4277" s="21" t="s">
        <v>17</v>
      </c>
      <c r="G4277" s="21" t="s">
        <v>18</v>
      </c>
      <c r="H4277" s="21" t="s">
        <v>18</v>
      </c>
      <c r="I4277" s="21" t="s">
        <v>52</v>
      </c>
      <c r="J4277" s="21" t="s">
        <v>643</v>
      </c>
      <c r="K4277" s="21" t="s">
        <v>2520</v>
      </c>
      <c r="L4277" s="21"/>
      <c r="M4277" s="21" t="s">
        <v>23</v>
      </c>
      <c r="N4277" s="21" t="s">
        <v>24</v>
      </c>
      <c r="O4277" s="21"/>
    </row>
    <row r="4278" spans="1:15" x14ac:dyDescent="0.25">
      <c r="A4278" s="2" t="s">
        <v>15</v>
      </c>
      <c r="B4278" s="2" t="str">
        <f>"FES1162773069"</f>
        <v>FES1162773069</v>
      </c>
      <c r="C4278" s="2" t="s">
        <v>2490</v>
      </c>
      <c r="D4278" s="2">
        <v>1</v>
      </c>
      <c r="E4278" s="2" t="str">
        <f>"2170759233"</f>
        <v>2170759233</v>
      </c>
      <c r="F4278" s="2" t="s">
        <v>17</v>
      </c>
      <c r="G4278" s="2" t="s">
        <v>18</v>
      </c>
      <c r="H4278" s="2" t="s">
        <v>18</v>
      </c>
      <c r="I4278" s="2" t="s">
        <v>50</v>
      </c>
      <c r="J4278" s="2" t="s">
        <v>2435</v>
      </c>
      <c r="K4278" s="2" t="s">
        <v>2520</v>
      </c>
      <c r="L4278" s="3">
        <v>0.32847222222222222</v>
      </c>
      <c r="M4278" s="2" t="s">
        <v>857</v>
      </c>
      <c r="N4278" s="2" t="s">
        <v>500</v>
      </c>
      <c r="O4278" s="2"/>
    </row>
    <row r="4279" spans="1:15" x14ac:dyDescent="0.25">
      <c r="A4279" s="21" t="s">
        <v>15</v>
      </c>
      <c r="B4279" s="21" t="str">
        <f>"FES1162773084"</f>
        <v>FES1162773084</v>
      </c>
      <c r="C4279" s="21" t="s">
        <v>2490</v>
      </c>
      <c r="D4279" s="21">
        <v>1</v>
      </c>
      <c r="E4279" s="21" t="str">
        <f>"2170759449"</f>
        <v>2170759449</v>
      </c>
      <c r="F4279" s="21" t="s">
        <v>17</v>
      </c>
      <c r="G4279" s="21" t="s">
        <v>18</v>
      </c>
      <c r="H4279" s="21" t="s">
        <v>18</v>
      </c>
      <c r="I4279" s="21" t="s">
        <v>57</v>
      </c>
      <c r="J4279" s="21" t="s">
        <v>888</v>
      </c>
      <c r="K4279" s="21" t="s">
        <v>2520</v>
      </c>
      <c r="L4279" s="21"/>
      <c r="M4279" s="21" t="s">
        <v>23</v>
      </c>
      <c r="N4279" s="21" t="s">
        <v>24</v>
      </c>
      <c r="O4279" s="21"/>
    </row>
    <row r="4280" spans="1:15" x14ac:dyDescent="0.25">
      <c r="A4280" s="21" t="s">
        <v>15</v>
      </c>
      <c r="B4280" s="21" t="str">
        <f>"FES1162773103"</f>
        <v>FES1162773103</v>
      </c>
      <c r="C4280" s="21" t="s">
        <v>2490</v>
      </c>
      <c r="D4280" s="21">
        <v>1</v>
      </c>
      <c r="E4280" s="21" t="str">
        <f>"2170759878"</f>
        <v>2170759878</v>
      </c>
      <c r="F4280" s="21" t="s">
        <v>17</v>
      </c>
      <c r="G4280" s="21" t="s">
        <v>18</v>
      </c>
      <c r="H4280" s="21" t="s">
        <v>18</v>
      </c>
      <c r="I4280" s="21" t="s">
        <v>116</v>
      </c>
      <c r="J4280" s="21" t="s">
        <v>493</v>
      </c>
      <c r="K4280" s="21" t="s">
        <v>2520</v>
      </c>
      <c r="L4280" s="21"/>
      <c r="M4280" s="21" t="s">
        <v>23</v>
      </c>
      <c r="N4280" s="21" t="s">
        <v>24</v>
      </c>
      <c r="O4280" s="21"/>
    </row>
    <row r="4281" spans="1:15" x14ac:dyDescent="0.25">
      <c r="A4281" s="21" t="s">
        <v>15</v>
      </c>
      <c r="B4281" s="21" t="str">
        <f>"FES1162773097"</f>
        <v>FES1162773097</v>
      </c>
      <c r="C4281" s="21" t="s">
        <v>2490</v>
      </c>
      <c r="D4281" s="21">
        <v>1</v>
      </c>
      <c r="E4281" s="21" t="str">
        <f>"2170759690"</f>
        <v>2170759690</v>
      </c>
      <c r="F4281" s="21" t="s">
        <v>17</v>
      </c>
      <c r="G4281" s="21" t="s">
        <v>18</v>
      </c>
      <c r="H4281" s="21" t="s">
        <v>88</v>
      </c>
      <c r="I4281" s="21" t="s">
        <v>612</v>
      </c>
      <c r="J4281" s="21" t="s">
        <v>1126</v>
      </c>
      <c r="K4281" s="21" t="s">
        <v>2520</v>
      </c>
      <c r="L4281" s="21"/>
      <c r="M4281" s="21" t="s">
        <v>23</v>
      </c>
      <c r="N4281" s="21" t="s">
        <v>24</v>
      </c>
      <c r="O4281" s="21"/>
    </row>
    <row r="4282" spans="1:15" x14ac:dyDescent="0.25">
      <c r="A4282" s="21" t="s">
        <v>15</v>
      </c>
      <c r="B4282" s="21" t="str">
        <f>"FES1162773099"</f>
        <v>FES1162773099</v>
      </c>
      <c r="C4282" s="21" t="s">
        <v>2490</v>
      </c>
      <c r="D4282" s="21">
        <v>1</v>
      </c>
      <c r="E4282" s="21" t="str">
        <f>"2170759877"</f>
        <v>2170759877</v>
      </c>
      <c r="F4282" s="21" t="s">
        <v>17</v>
      </c>
      <c r="G4282" s="21" t="s">
        <v>18</v>
      </c>
      <c r="H4282" s="21" t="s">
        <v>18</v>
      </c>
      <c r="I4282" s="21" t="s">
        <v>459</v>
      </c>
      <c r="J4282" s="21" t="s">
        <v>460</v>
      </c>
      <c r="K4282" s="21" t="s">
        <v>2520</v>
      </c>
      <c r="L4282" s="21"/>
      <c r="M4282" s="21" t="s">
        <v>23</v>
      </c>
      <c r="N4282" s="21" t="s">
        <v>24</v>
      </c>
      <c r="O4282" s="21"/>
    </row>
    <row r="4283" spans="1:15" x14ac:dyDescent="0.25">
      <c r="A4283" s="21" t="s">
        <v>15</v>
      </c>
      <c r="B4283" s="21" t="str">
        <f>"FES1162773090"</f>
        <v>FES1162773090</v>
      </c>
      <c r="C4283" s="21" t="s">
        <v>2490</v>
      </c>
      <c r="D4283" s="21">
        <v>1</v>
      </c>
      <c r="E4283" s="21" t="str">
        <f>"2170759671"</f>
        <v>2170759671</v>
      </c>
      <c r="F4283" s="21" t="s">
        <v>17</v>
      </c>
      <c r="G4283" s="21" t="s">
        <v>18</v>
      </c>
      <c r="H4283" s="21" t="s">
        <v>18</v>
      </c>
      <c r="I4283" s="21" t="s">
        <v>50</v>
      </c>
      <c r="J4283" s="21" t="s">
        <v>665</v>
      </c>
      <c r="K4283" s="21" t="s">
        <v>2520</v>
      </c>
      <c r="L4283" s="21"/>
      <c r="M4283" s="21" t="s">
        <v>23</v>
      </c>
      <c r="N4283" s="21" t="s">
        <v>24</v>
      </c>
      <c r="O4283" s="21"/>
    </row>
    <row r="4284" spans="1:15" x14ac:dyDescent="0.25">
      <c r="A4284" s="21" t="s">
        <v>15</v>
      </c>
      <c r="B4284" s="21" t="str">
        <f>"FES1162773075"</f>
        <v>FES1162773075</v>
      </c>
      <c r="C4284" s="21" t="s">
        <v>2490</v>
      </c>
      <c r="D4284" s="21">
        <v>1</v>
      </c>
      <c r="E4284" s="21" t="str">
        <f>"2170759861"</f>
        <v>2170759861</v>
      </c>
      <c r="F4284" s="21" t="s">
        <v>17</v>
      </c>
      <c r="G4284" s="21" t="s">
        <v>18</v>
      </c>
      <c r="H4284" s="21" t="s">
        <v>18</v>
      </c>
      <c r="I4284" s="21" t="s">
        <v>46</v>
      </c>
      <c r="J4284" s="21" t="s">
        <v>59</v>
      </c>
      <c r="K4284" s="21" t="s">
        <v>2520</v>
      </c>
      <c r="L4284" s="21"/>
      <c r="M4284" s="21" t="s">
        <v>23</v>
      </c>
      <c r="N4284" s="21" t="s">
        <v>24</v>
      </c>
      <c r="O4284" s="21"/>
    </row>
    <row r="4285" spans="1:15" x14ac:dyDescent="0.25">
      <c r="A4285" s="21" t="s">
        <v>15</v>
      </c>
      <c r="B4285" s="21" t="str">
        <f>"FES1162773064"</f>
        <v>FES1162773064</v>
      </c>
      <c r="C4285" s="21" t="s">
        <v>2490</v>
      </c>
      <c r="D4285" s="21">
        <v>1</v>
      </c>
      <c r="E4285" s="21" t="str">
        <f>"2170757746"</f>
        <v>2170757746</v>
      </c>
      <c r="F4285" s="21" t="s">
        <v>17</v>
      </c>
      <c r="G4285" s="21" t="s">
        <v>18</v>
      </c>
      <c r="H4285" s="21" t="s">
        <v>18</v>
      </c>
      <c r="I4285" s="21" t="s">
        <v>57</v>
      </c>
      <c r="J4285" s="21" t="s">
        <v>888</v>
      </c>
      <c r="K4285" s="21" t="s">
        <v>2520</v>
      </c>
      <c r="L4285" s="21"/>
      <c r="M4285" s="21" t="s">
        <v>23</v>
      </c>
      <c r="N4285" s="21" t="s">
        <v>24</v>
      </c>
      <c r="O4285" s="21"/>
    </row>
    <row r="4286" spans="1:15" x14ac:dyDescent="0.25">
      <c r="A4286" s="21" t="s">
        <v>15</v>
      </c>
      <c r="B4286" s="21" t="str">
        <f>"FES1162773063"</f>
        <v>FES1162773063</v>
      </c>
      <c r="C4286" s="21" t="s">
        <v>2490</v>
      </c>
      <c r="D4286" s="21">
        <v>1</v>
      </c>
      <c r="E4286" s="21" t="str">
        <f>"2170755053"</f>
        <v>2170755053</v>
      </c>
      <c r="F4286" s="21" t="s">
        <v>17</v>
      </c>
      <c r="G4286" s="21" t="s">
        <v>18</v>
      </c>
      <c r="H4286" s="21" t="s">
        <v>18</v>
      </c>
      <c r="I4286" s="21" t="s">
        <v>50</v>
      </c>
      <c r="J4286" s="21" t="s">
        <v>1459</v>
      </c>
      <c r="K4286" s="21" t="s">
        <v>2520</v>
      </c>
      <c r="L4286" s="21"/>
      <c r="M4286" s="21" t="s">
        <v>23</v>
      </c>
      <c r="N4286" s="21" t="s">
        <v>24</v>
      </c>
      <c r="O4286" s="21"/>
    </row>
    <row r="4287" spans="1:15" x14ac:dyDescent="0.25">
      <c r="A4287" s="2" t="s">
        <v>15</v>
      </c>
      <c r="B4287" s="2" t="str">
        <f>"FES1162773077"</f>
        <v>FES1162773077</v>
      </c>
      <c r="C4287" s="2" t="s">
        <v>2490</v>
      </c>
      <c r="D4287" s="2">
        <v>1</v>
      </c>
      <c r="E4287" s="2" t="str">
        <f>"2170759863"</f>
        <v>2170759863</v>
      </c>
      <c r="F4287" s="2" t="s">
        <v>17</v>
      </c>
      <c r="G4287" s="2" t="s">
        <v>18</v>
      </c>
      <c r="H4287" s="2" t="s">
        <v>18</v>
      </c>
      <c r="I4287" s="2" t="s">
        <v>46</v>
      </c>
      <c r="J4287" s="2" t="s">
        <v>115</v>
      </c>
      <c r="K4287" s="2" t="s">
        <v>2520</v>
      </c>
      <c r="L4287" s="3">
        <v>0.32222222222222224</v>
      </c>
      <c r="M4287" s="2" t="s">
        <v>115</v>
      </c>
      <c r="N4287" s="2" t="s">
        <v>500</v>
      </c>
      <c r="O4287" s="2"/>
    </row>
    <row r="4288" spans="1:15" x14ac:dyDescent="0.25">
      <c r="A4288" s="21" t="s">
        <v>15</v>
      </c>
      <c r="B4288" s="21" t="str">
        <f>"FES1162773093"</f>
        <v>FES1162773093</v>
      </c>
      <c r="C4288" s="21" t="s">
        <v>2490</v>
      </c>
      <c r="D4288" s="21">
        <v>1</v>
      </c>
      <c r="E4288" s="21" t="str">
        <f>"2170753943"</f>
        <v>2170753943</v>
      </c>
      <c r="F4288" s="21" t="s">
        <v>17</v>
      </c>
      <c r="G4288" s="21" t="s">
        <v>18</v>
      </c>
      <c r="H4288" s="21" t="s">
        <v>18</v>
      </c>
      <c r="I4288" s="21" t="s">
        <v>57</v>
      </c>
      <c r="J4288" s="21" t="s">
        <v>103</v>
      </c>
      <c r="K4288" s="21" t="s">
        <v>2520</v>
      </c>
      <c r="L4288" s="21"/>
      <c r="M4288" s="21" t="s">
        <v>23</v>
      </c>
      <c r="N4288" s="21" t="s">
        <v>24</v>
      </c>
      <c r="O4288" s="2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Festo</dc:creator>
  <cp:lastModifiedBy>Festo</cp:lastModifiedBy>
  <dcterms:created xsi:type="dcterms:W3CDTF">2020-09-07T08:06:00Z</dcterms:created>
  <dcterms:modified xsi:type="dcterms:W3CDTF">2020-11-03T07:36:28Z</dcterms:modified>
</cp:coreProperties>
</file>